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autoCompressPictures="0"/>
  <mc:AlternateContent xmlns:mc="http://schemas.openxmlformats.org/markup-compatibility/2006">
    <mc:Choice Requires="x15">
      <x15ac:absPath xmlns:x15ac="http://schemas.microsoft.com/office/spreadsheetml/2010/11/ac" url="C:\Users\640530\Documents\"/>
    </mc:Choice>
  </mc:AlternateContent>
  <xr:revisionPtr revIDLastSave="0" documentId="8_{D022B1CA-7E01-4DDA-ABC7-609DC7E7ED23}" xr6:coauthVersionLast="36" xr6:coauthVersionMax="36" xr10:uidLastSave="{00000000-0000-0000-0000-000000000000}"/>
  <bookViews>
    <workbookView xWindow="0" yWindow="0" windowWidth="20520" windowHeight="10995" tabRatio="763" activeTab="2" xr2:uid="{00000000-000D-0000-FFFF-FFFF00000000}"/>
  </bookViews>
  <sheets>
    <sheet name="Read Me" sheetId="22" r:id="rId1"/>
    <sheet name="Tournament Info" sheetId="7" r:id="rId2"/>
    <sheet name="Tab Summary" sheetId="8" r:id="rId3"/>
    <sheet name="Ballot Entry" sheetId="9" r:id="rId4"/>
    <sheet name="Individual Awards" sheetId="24" r:id="rId5"/>
    <sheet name="Quick Review" sheetId="23" r:id="rId6"/>
    <sheet name="Captains Info" sheetId="16" r:id="rId7"/>
    <sheet name="Stats for Case Committee" sheetId="18" state="hidden" r:id="rId8"/>
    <sheet name="Change Log" sheetId="20" state="hidden" r:id="rId9"/>
    <sheet name="Ballots for Export" sheetId="17" state="hidden" r:id="rId10"/>
  </sheets>
  <definedNames>
    <definedName name="_xlnm._FilterDatabase" localSheetId="3" hidden="1">'Ballot Entry'!$A$2:$A$425</definedName>
    <definedName name="_xlnm._FilterDatabase" localSheetId="9" hidden="1">'Ballots for Export'!$A$1:$K$406</definedName>
    <definedName name="_xlnm._FilterDatabase" localSheetId="6" hidden="1">'Captains Info'!$A$2:$A$389</definedName>
    <definedName name="_xlnm._FilterDatabase" localSheetId="5" hidden="1">'Quick Review'!$A$1:$G$71</definedName>
    <definedName name="_xlnm._FilterDatabase" localSheetId="2" hidden="1">'Tab Summary'!$A$8:$AA$320</definedName>
    <definedName name="AllStudents">'Tournament Info'!$J$15:$S$54</definedName>
    <definedName name="AMTA1">'Tournament Info'!$I$4</definedName>
    <definedName name="AMTA2">'Tournament Info'!$I$5</definedName>
    <definedName name="AMTA3">'Tournament Info'!$I$6</definedName>
    <definedName name="AttyCutoff">'Individual Awards'!$J$1</definedName>
    <definedName name="Background">#REF!</definedName>
    <definedName name="Ballots">'Tournament Info'!$F$4</definedName>
    <definedName name="Bids">'Tournament Info'!$F$5</definedName>
    <definedName name="Date">'Tournament Info'!$B$6</definedName>
    <definedName name="DComb">'Captains Info'!$T$12:$U$85</definedName>
    <definedName name="DLookup">'Captains Info'!$J$3:$M$11</definedName>
    <definedName name="Flip1">'Tab Summary'!$AB$232</definedName>
    <definedName name="Flip2">'Tab Summary'!$AB$233</definedName>
    <definedName name="HM">'Tournament Info'!$F$6</definedName>
    <definedName name="HMCalc">'Ballot Entry'!$AO$2</definedName>
    <definedName name="Host">'Tournament Info'!$B$4</definedName>
    <definedName name="Individ_Awards">'Tournament Info'!$F$7</definedName>
    <definedName name="Level">'Tournament Info'!$I$3</definedName>
    <definedName name="Location">'Tournament Info'!$B$5</definedName>
    <definedName name="Name">'Tournament Info'!$B$3</definedName>
    <definedName name="Offset">'Ballot Entry'!$AH$3:$AH$71</definedName>
    <definedName name="ORC">'Tournament Info'!$I$8</definedName>
    <definedName name="ORCDate">'Tournament Info'!$I$9</definedName>
    <definedName name="ORCLoc">'Tournament Info'!$I$10</definedName>
    <definedName name="PComb">'Captains Info'!$Q$12:$R$85</definedName>
    <definedName name="Plookup">'Captains Info'!$F$3:$I$11</definedName>
    <definedName name="_xlnm.Print_Area" localSheetId="2">'Tab Summary'!$A$1:$T$323</definedName>
    <definedName name="Round1">'Ballot Entry'!$K$3:$Q$37</definedName>
    <definedName name="Round1D">'Ballot Entry'!$M$73:$Q$107</definedName>
    <definedName name="Round1P">'Ballot Entry'!$M$38:$Q$72</definedName>
    <definedName name="Round2">'Ballot Entry'!$K$109:$Q$143</definedName>
    <definedName name="Round2D">'Ballot Entry'!$M$179:$Q$213</definedName>
    <definedName name="Round2P">'Ballot Entry'!$M$144:$Q$178</definedName>
    <definedName name="Round3">'Ballot Entry'!$K$215:$Q$249</definedName>
    <definedName name="Round3D">'Ballot Entry'!$M$285:$Q$319</definedName>
    <definedName name="Round3P">'Ballot Entry'!$M$250:$Q$284</definedName>
    <definedName name="Round3Rank">'Ballot Entry'!$AK$3:$AK$42</definedName>
    <definedName name="Round4">'Ballot Entry'!$K$321:$Q$355</definedName>
    <definedName name="Round4D">'Ballot Entry'!$M$391:$Q$425</definedName>
    <definedName name="Round4P">'Ballot Entry'!$M$356:$Q$390</definedName>
    <definedName name="SoAMTA1">'Tab Summary'!$B$272</definedName>
    <definedName name="SoAMTA2">'Tab Summary'!$B$273</definedName>
    <definedName name="SoAMTA3">'Tab Summary'!$B$274</definedName>
    <definedName name="SoAMTARanks">'Tournament Info'!$M$4</definedName>
    <definedName name="SoMA2">'Tournament Info'!$M$7</definedName>
    <definedName name="Sort">'Ballot Entry'!$T$3:$T$72</definedName>
    <definedName name="SortArray">'Ballot Entry'!$T$3:$AC$72</definedName>
    <definedName name="Team1">'Tournament Info'!$J$15:$S$15</definedName>
    <definedName name="Team10">'Tournament Info'!$J$24:$S$24</definedName>
    <definedName name="Team11">'Tournament Info'!$J$25:$S$25</definedName>
    <definedName name="Team12">'Tournament Info'!$J$26:$S$26</definedName>
    <definedName name="Team13">'Tournament Info'!$J$27:$S$27</definedName>
    <definedName name="Team14">'Tournament Info'!$J$28:$S$28</definedName>
    <definedName name="Team15">'Tournament Info'!$J$29:$S$29</definedName>
    <definedName name="Team16">'Tournament Info'!$J$30:$S$30</definedName>
    <definedName name="Team17">'Tournament Info'!$J$31:$S$31</definedName>
    <definedName name="Team18">'Tournament Info'!$J$32:$S$32</definedName>
    <definedName name="Team19">'Tournament Info'!$J$33:$S$33</definedName>
    <definedName name="Team2">'Tournament Info'!$J$16:$S$16</definedName>
    <definedName name="Team20">'Tournament Info'!$J$34:$S$34</definedName>
    <definedName name="Team21">'Tournament Info'!$J$35:$S$35</definedName>
    <definedName name="Team22">'Tournament Info'!$J$36:$S$36</definedName>
    <definedName name="Team23">'Tournament Info'!$J$37:$S$37</definedName>
    <definedName name="Team24">'Tournament Info'!$J$38:$S$38</definedName>
    <definedName name="Team25">'Tournament Info'!$J$39:$S$39</definedName>
    <definedName name="Team26">'Tournament Info'!$J$40:$S$40</definedName>
    <definedName name="Team27">'Tournament Info'!$J$41:$S$41</definedName>
    <definedName name="Team28">'Tournament Info'!$J$42:$S$42</definedName>
    <definedName name="Team29">'Tournament Info'!$J$43:$S$43</definedName>
    <definedName name="Team3">'Tournament Info'!$J$17:$S$17</definedName>
    <definedName name="Team30">'Tournament Info'!$J$44:$S$44</definedName>
    <definedName name="Team31">'Tournament Info'!$J$45:$S$45</definedName>
    <definedName name="Team32">'Tournament Info'!$J$46:$S$46</definedName>
    <definedName name="Team33">'Tournament Info'!$J$47:$S$47</definedName>
    <definedName name="Team34">'Tournament Info'!$J$48:$S$48</definedName>
    <definedName name="Team35">'Tournament Info'!$J$49:$S$49</definedName>
    <definedName name="Team36">'Tournament Info'!$J$50:$S$50</definedName>
    <definedName name="Team37">'Tournament Info'!$J$51:$S$51</definedName>
    <definedName name="Team38">'Tournament Info'!$J$52:$S$52</definedName>
    <definedName name="Team39">'Tournament Info'!$J$53:$S$53</definedName>
    <definedName name="Team4">'Tournament Info'!$J$18:$S$18</definedName>
    <definedName name="Team40">'Tournament Info'!$J$54:$S$54</definedName>
    <definedName name="Team41">'Tournament Info'!$J$55:$S$55</definedName>
    <definedName name="Team42">'Tournament Info'!$J$56:$S$56</definedName>
    <definedName name="Team5">'Tournament Info'!$J$19:$S$19</definedName>
    <definedName name="Team6">'Tournament Info'!$J$20:$S$20</definedName>
    <definedName name="Team7">'Tournament Info'!$J$21:$S$21</definedName>
    <definedName name="Team8">'Tournament Info'!$J$22:$S$22</definedName>
    <definedName name="Team9">'Tournament Info'!$J$23:$S$23</definedName>
    <definedName name="TeamNumbers">'Ballot Entry'!$U$3:$W$72</definedName>
    <definedName name="TeamRank">'Tournament Info'!$F$8</definedName>
    <definedName name="TeamRecord">'Ballot Entry'!$U$3:$AD$72</definedName>
    <definedName name="Teams">'Tournament Info'!$F$3</definedName>
    <definedName name="TeamTrack">ROWS('Tournament Info'!$A$15:WVH1)</definedName>
    <definedName name="TeamTrackApply" localSheetId="5">IF([0]!TeamTrack&lt;=[0]!Teams,[0]!TeamTrack, "")</definedName>
    <definedName name="TeamTrackApply">IF(TeamTrack&lt;=Teams,TeamTrack, "")</definedName>
    <definedName name="WitCutoff">'Individual Awards'!$Y$1</definedName>
    <definedName name="WitLookup">'Captains Info'!#REF!</definedName>
  </definedNames>
  <calcPr calcId="19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M3" i="9" l="1"/>
  <c r="M4" i="9"/>
  <c r="M5" i="9"/>
  <c r="M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N3" i="9"/>
  <c r="N4" i="9"/>
  <c r="N5" i="9"/>
  <c r="N6" i="9"/>
  <c r="N7" i="9"/>
  <c r="D76" i="17" s="1"/>
  <c r="N8" i="9"/>
  <c r="N9" i="9"/>
  <c r="N10" i="9"/>
  <c r="D79" i="17" s="1"/>
  <c r="N11" i="9"/>
  <c r="D80" i="17" s="1"/>
  <c r="N12" i="9"/>
  <c r="N13" i="9"/>
  <c r="N14" i="9"/>
  <c r="N15" i="9"/>
  <c r="N16" i="9"/>
  <c r="N17" i="9"/>
  <c r="N18" i="9"/>
  <c r="N19" i="9"/>
  <c r="N20" i="9"/>
  <c r="N21" i="9"/>
  <c r="N22" i="9"/>
  <c r="N23" i="9"/>
  <c r="N24" i="9"/>
  <c r="N25" i="9"/>
  <c r="N26" i="9"/>
  <c r="N27" i="9"/>
  <c r="N28" i="9"/>
  <c r="N29" i="9"/>
  <c r="N30" i="9"/>
  <c r="N31" i="9"/>
  <c r="N32" i="9"/>
  <c r="N33" i="9"/>
  <c r="N34" i="9"/>
  <c r="N35" i="9"/>
  <c r="N36" i="9"/>
  <c r="N37" i="9"/>
  <c r="A9" i="8"/>
  <c r="O3" i="9"/>
  <c r="P3" i="9"/>
  <c r="Q3" i="9"/>
  <c r="E11" i="8"/>
  <c r="E10" i="8" s="1"/>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O109" i="9"/>
  <c r="L126" i="9"/>
  <c r="P109" i="9"/>
  <c r="E142" i="17" s="1"/>
  <c r="Q109" i="9"/>
  <c r="H11" i="8"/>
  <c r="H10" i="8" s="1"/>
  <c r="M215" i="9"/>
  <c r="K222" i="9" s="1"/>
  <c r="M216" i="9"/>
  <c r="M217" i="9"/>
  <c r="M218" i="9"/>
  <c r="M219" i="9"/>
  <c r="E251" i="17" s="1"/>
  <c r="M220" i="9"/>
  <c r="C252" i="17" s="1"/>
  <c r="M221" i="9"/>
  <c r="M222" i="9"/>
  <c r="M223" i="9"/>
  <c r="E290" i="17" s="1"/>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N215" i="9"/>
  <c r="N216" i="9"/>
  <c r="N217" i="9"/>
  <c r="N218" i="9"/>
  <c r="N219" i="9"/>
  <c r="N220" i="9"/>
  <c r="N221" i="9"/>
  <c r="N222" i="9"/>
  <c r="N223" i="9"/>
  <c r="N224" i="9"/>
  <c r="N225" i="9"/>
  <c r="N226" i="9"/>
  <c r="N227" i="9"/>
  <c r="N228" i="9"/>
  <c r="N229" i="9"/>
  <c r="N230" i="9"/>
  <c r="N231" i="9"/>
  <c r="N232" i="9"/>
  <c r="N233" i="9"/>
  <c r="N234" i="9"/>
  <c r="N235" i="9"/>
  <c r="N236" i="9"/>
  <c r="N237" i="9"/>
  <c r="N238" i="9"/>
  <c r="N239" i="9"/>
  <c r="N240" i="9"/>
  <c r="N241" i="9"/>
  <c r="N242" i="9"/>
  <c r="N243" i="9"/>
  <c r="N244" i="9"/>
  <c r="N245" i="9"/>
  <c r="N246" i="9"/>
  <c r="N247" i="9"/>
  <c r="N248" i="9"/>
  <c r="N249" i="9"/>
  <c r="O215" i="9"/>
  <c r="P215" i="9"/>
  <c r="Q215" i="9"/>
  <c r="K11" i="8"/>
  <c r="K10" i="8" s="1"/>
  <c r="M321" i="9"/>
  <c r="M322" i="9"/>
  <c r="M323" i="9"/>
  <c r="M324" i="9"/>
  <c r="M325" i="9"/>
  <c r="M326" i="9"/>
  <c r="M327" i="9"/>
  <c r="C358" i="17" s="1"/>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N321" i="9"/>
  <c r="N322" i="9"/>
  <c r="N323" i="9"/>
  <c r="L321" i="9" s="1"/>
  <c r="L391" i="9" s="1"/>
  <c r="N324" i="9"/>
  <c r="N325" i="9"/>
  <c r="N326" i="9"/>
  <c r="N327" i="9"/>
  <c r="D393" i="17" s="1"/>
  <c r="N328" i="9"/>
  <c r="D359" i="17" s="1"/>
  <c r="N329" i="9"/>
  <c r="N330" i="9"/>
  <c r="N331" i="9"/>
  <c r="N332" i="9"/>
  <c r="N333" i="9"/>
  <c r="N334" i="9"/>
  <c r="N335" i="9"/>
  <c r="N336" i="9"/>
  <c r="N337" i="9"/>
  <c r="N338" i="9"/>
  <c r="N339" i="9"/>
  <c r="N340" i="9"/>
  <c r="N341" i="9"/>
  <c r="N342" i="9"/>
  <c r="N343" i="9"/>
  <c r="N344" i="9"/>
  <c r="N345" i="9"/>
  <c r="N346" i="9"/>
  <c r="N347" i="9"/>
  <c r="N348" i="9"/>
  <c r="N349" i="9"/>
  <c r="N350" i="9"/>
  <c r="N351" i="9"/>
  <c r="N352" i="9"/>
  <c r="N353" i="9"/>
  <c r="N354" i="9"/>
  <c r="N355" i="9"/>
  <c r="O321" i="9"/>
  <c r="P321" i="9"/>
  <c r="Q321" i="9"/>
  <c r="N11" i="8"/>
  <c r="N10" i="8" s="1"/>
  <c r="A12" i="8"/>
  <c r="E14" i="8"/>
  <c r="E13" i="8" s="1"/>
  <c r="H14" i="8"/>
  <c r="H13" i="8" s="1"/>
  <c r="K14" i="8"/>
  <c r="K13" i="8" s="1"/>
  <c r="N14" i="8"/>
  <c r="N13" i="8" s="1"/>
  <c r="A15" i="8"/>
  <c r="E17" i="8"/>
  <c r="E16" i="8" s="1"/>
  <c r="H17" i="8"/>
  <c r="H16" i="8" s="1"/>
  <c r="K17" i="8"/>
  <c r="K16" i="8" s="1"/>
  <c r="N17" i="8"/>
  <c r="N16" i="8" s="1"/>
  <c r="A18" i="8"/>
  <c r="E20" i="8"/>
  <c r="E19" i="8" s="1"/>
  <c r="H20" i="8"/>
  <c r="H19" i="8" s="1"/>
  <c r="K20" i="8"/>
  <c r="K19" i="8" s="1"/>
  <c r="N20" i="8"/>
  <c r="N19" i="8" s="1"/>
  <c r="A21" i="8"/>
  <c r="E23" i="8"/>
  <c r="E22" i="8" s="1"/>
  <c r="H23" i="8"/>
  <c r="H22" i="8" s="1"/>
  <c r="K23" i="8"/>
  <c r="K22" i="8" s="1"/>
  <c r="N23" i="8"/>
  <c r="N22" i="8" s="1"/>
  <c r="A24" i="8"/>
  <c r="E26" i="8"/>
  <c r="E25" i="8" s="1"/>
  <c r="H26" i="8"/>
  <c r="H25" i="8" s="1"/>
  <c r="K26" i="8"/>
  <c r="K25" i="8" s="1"/>
  <c r="N26" i="8"/>
  <c r="N25" i="8" s="1"/>
  <c r="A27" i="8"/>
  <c r="E29" i="8"/>
  <c r="E28" i="8" s="1"/>
  <c r="H29" i="8"/>
  <c r="H28" i="8" s="1"/>
  <c r="K29" i="8"/>
  <c r="K28" i="8" s="1"/>
  <c r="N29" i="8"/>
  <c r="N28" i="8" s="1"/>
  <c r="A30" i="8"/>
  <c r="E32" i="8"/>
  <c r="E31" i="8" s="1"/>
  <c r="H32" i="8"/>
  <c r="H31" i="8" s="1"/>
  <c r="K32" i="8"/>
  <c r="K31" i="8" s="1"/>
  <c r="N32" i="8"/>
  <c r="N31" i="8" s="1"/>
  <c r="A33" i="8"/>
  <c r="E35" i="8"/>
  <c r="E34" i="8" s="1"/>
  <c r="H35" i="8"/>
  <c r="H34" i="8" s="1"/>
  <c r="K35" i="8"/>
  <c r="K34" i="8" s="1"/>
  <c r="N35" i="8"/>
  <c r="N34" i="8" s="1"/>
  <c r="A36" i="8"/>
  <c r="E38" i="8"/>
  <c r="E37" i="8" s="1"/>
  <c r="H38" i="8"/>
  <c r="H37" i="8" s="1"/>
  <c r="K38" i="8"/>
  <c r="K37" i="8" s="1"/>
  <c r="N38" i="8"/>
  <c r="N37" i="8" s="1"/>
  <c r="A39" i="8"/>
  <c r="E41" i="8"/>
  <c r="E40" i="8" s="1"/>
  <c r="H41" i="8"/>
  <c r="H40" i="8" s="1"/>
  <c r="K41" i="8"/>
  <c r="K40" i="8" s="1"/>
  <c r="N41" i="8"/>
  <c r="N40" i="8" s="1"/>
  <c r="A42" i="8"/>
  <c r="E44" i="8"/>
  <c r="E43" i="8" s="1"/>
  <c r="H44" i="8"/>
  <c r="H43" i="8" s="1"/>
  <c r="K44" i="8"/>
  <c r="K43" i="8" s="1"/>
  <c r="N44" i="8"/>
  <c r="N43" i="8" s="1"/>
  <c r="A45" i="8"/>
  <c r="E47" i="8"/>
  <c r="E46" i="8" s="1"/>
  <c r="H47" i="8"/>
  <c r="H46" i="8" s="1"/>
  <c r="K47" i="8"/>
  <c r="K46" i="8" s="1"/>
  <c r="N47" i="8"/>
  <c r="N46" i="8" s="1"/>
  <c r="A48" i="8"/>
  <c r="E50" i="8"/>
  <c r="E49" i="8" s="1"/>
  <c r="H50" i="8"/>
  <c r="H49" i="8" s="1"/>
  <c r="K50" i="8"/>
  <c r="K49" i="8" s="1"/>
  <c r="N50" i="8"/>
  <c r="N49" i="8" s="1"/>
  <c r="A52" i="8"/>
  <c r="E54" i="8"/>
  <c r="E53" i="8" s="1"/>
  <c r="H54" i="8"/>
  <c r="H53" i="8" s="1"/>
  <c r="K54" i="8"/>
  <c r="K53" i="8" s="1"/>
  <c r="N54" i="8"/>
  <c r="N53" i="8" s="1"/>
  <c r="A55" i="8"/>
  <c r="E57" i="8"/>
  <c r="E56" i="8" s="1"/>
  <c r="H57" i="8"/>
  <c r="H56" i="8" s="1"/>
  <c r="K57" i="8"/>
  <c r="K56" i="8" s="1"/>
  <c r="N57" i="8"/>
  <c r="N56" i="8" s="1"/>
  <c r="A58" i="8"/>
  <c r="E60" i="8"/>
  <c r="E59" i="8" s="1"/>
  <c r="H60" i="8"/>
  <c r="H59" i="8" s="1"/>
  <c r="K60" i="8"/>
  <c r="K59" i="8" s="1"/>
  <c r="N60" i="8"/>
  <c r="N59" i="8" s="1"/>
  <c r="A61" i="8"/>
  <c r="E63" i="8"/>
  <c r="E62" i="8" s="1"/>
  <c r="H63" i="8"/>
  <c r="H62" i="8" s="1"/>
  <c r="K63" i="8"/>
  <c r="K62" i="8" s="1"/>
  <c r="N63" i="8"/>
  <c r="N62" i="8" s="1"/>
  <c r="A64" i="8"/>
  <c r="E66" i="8"/>
  <c r="E65" i="8" s="1"/>
  <c r="H66" i="8"/>
  <c r="H65" i="8" s="1"/>
  <c r="K66" i="8"/>
  <c r="K65" i="8" s="1"/>
  <c r="N66" i="8"/>
  <c r="N65" i="8" s="1"/>
  <c r="A67" i="8"/>
  <c r="E69" i="8"/>
  <c r="E68" i="8" s="1"/>
  <c r="H69" i="8"/>
  <c r="H68" i="8" s="1"/>
  <c r="K69" i="8"/>
  <c r="K68" i="8" s="1"/>
  <c r="N69" i="8"/>
  <c r="N68" i="8" s="1"/>
  <c r="A70" i="8"/>
  <c r="E72" i="8"/>
  <c r="E71" i="8" s="1"/>
  <c r="H72" i="8"/>
  <c r="H71" i="8" s="1"/>
  <c r="K72" i="8"/>
  <c r="K71" i="8" s="1"/>
  <c r="N72" i="8"/>
  <c r="N71" i="8" s="1"/>
  <c r="A73" i="8"/>
  <c r="E75" i="8"/>
  <c r="E74" i="8" s="1"/>
  <c r="H75" i="8"/>
  <c r="H74" i="8" s="1"/>
  <c r="K75" i="8"/>
  <c r="K74" i="8" s="1"/>
  <c r="N75" i="8"/>
  <c r="N74" i="8" s="1"/>
  <c r="A76" i="8"/>
  <c r="E78" i="8"/>
  <c r="E77" i="8" s="1"/>
  <c r="H78" i="8"/>
  <c r="H77" i="8" s="1"/>
  <c r="K78" i="8"/>
  <c r="K77" i="8" s="1"/>
  <c r="N78" i="8"/>
  <c r="N77" i="8" s="1"/>
  <c r="A79" i="8"/>
  <c r="E81" i="8"/>
  <c r="E80" i="8" s="1"/>
  <c r="H81" i="8"/>
  <c r="H80" i="8" s="1"/>
  <c r="K81" i="8"/>
  <c r="K80" i="8" s="1"/>
  <c r="N81" i="8"/>
  <c r="N80" i="8" s="1"/>
  <c r="A82" i="8"/>
  <c r="E84" i="8"/>
  <c r="E83" i="8" s="1"/>
  <c r="H84" i="8"/>
  <c r="H83" i="8" s="1"/>
  <c r="K84" i="8"/>
  <c r="K83" i="8" s="1"/>
  <c r="N84" i="8"/>
  <c r="N83" i="8" s="1"/>
  <c r="A85" i="8"/>
  <c r="E87" i="8"/>
  <c r="E86" i="8" s="1"/>
  <c r="H87" i="8"/>
  <c r="H86" i="8" s="1"/>
  <c r="K87" i="8"/>
  <c r="K86" i="8" s="1"/>
  <c r="N87" i="8"/>
  <c r="N86" i="8" s="1"/>
  <c r="A88" i="8"/>
  <c r="E90" i="8"/>
  <c r="E89" i="8" s="1"/>
  <c r="H90" i="8"/>
  <c r="H89" i="8" s="1"/>
  <c r="K90" i="8"/>
  <c r="K89" i="8" s="1"/>
  <c r="N90" i="8"/>
  <c r="N89" i="8" s="1"/>
  <c r="A91" i="8"/>
  <c r="E93" i="8"/>
  <c r="E92" i="8" s="1"/>
  <c r="H93" i="8"/>
  <c r="H92" i="8" s="1"/>
  <c r="K93" i="8"/>
  <c r="K92" i="8" s="1"/>
  <c r="N93" i="8"/>
  <c r="N92" i="8" s="1"/>
  <c r="A94" i="8"/>
  <c r="E96" i="8"/>
  <c r="E95" i="8" s="1"/>
  <c r="H96" i="8"/>
  <c r="H95" i="8" s="1"/>
  <c r="K96" i="8"/>
  <c r="K95" i="8" s="1"/>
  <c r="N96" i="8"/>
  <c r="N95" i="8" s="1"/>
  <c r="A97" i="8"/>
  <c r="E99" i="8"/>
  <c r="E98" i="8" s="1"/>
  <c r="H99" i="8"/>
  <c r="H98" i="8" s="1"/>
  <c r="K99" i="8"/>
  <c r="K98" i="8" s="1"/>
  <c r="N99" i="8"/>
  <c r="N98" i="8" s="1"/>
  <c r="A102" i="8"/>
  <c r="E104" i="8"/>
  <c r="E103" i="8" s="1"/>
  <c r="H104" i="8"/>
  <c r="H103" i="8" s="1"/>
  <c r="K104" i="8"/>
  <c r="K103" i="8" s="1"/>
  <c r="N104" i="8"/>
  <c r="N103" i="8" s="1"/>
  <c r="A105" i="8"/>
  <c r="E107" i="8"/>
  <c r="E106" i="8" s="1"/>
  <c r="H107" i="8"/>
  <c r="H106" i="8" s="1"/>
  <c r="K107" i="8"/>
  <c r="K106" i="8" s="1"/>
  <c r="N107" i="8"/>
  <c r="N106" i="8" s="1"/>
  <c r="A108" i="8"/>
  <c r="E110" i="8"/>
  <c r="E109" i="8" s="1"/>
  <c r="H110" i="8"/>
  <c r="H109" i="8" s="1"/>
  <c r="K110" i="8"/>
  <c r="K109" i="8" s="1"/>
  <c r="N110" i="8"/>
  <c r="N109" i="8" s="1"/>
  <c r="A111" i="8"/>
  <c r="E113" i="8"/>
  <c r="E112" i="8" s="1"/>
  <c r="H113" i="8"/>
  <c r="H112" i="8" s="1"/>
  <c r="K113" i="8"/>
  <c r="K112" i="8" s="1"/>
  <c r="N113" i="8"/>
  <c r="N112" i="8" s="1"/>
  <c r="A114" i="8"/>
  <c r="E116" i="8"/>
  <c r="E115" i="8" s="1"/>
  <c r="H116" i="8"/>
  <c r="H115" i="8" s="1"/>
  <c r="K116" i="8"/>
  <c r="K115" i="8" s="1"/>
  <c r="N116" i="8"/>
  <c r="N115" i="8" s="1"/>
  <c r="A117" i="8"/>
  <c r="E119" i="8"/>
  <c r="E118" i="8" s="1"/>
  <c r="H119" i="8"/>
  <c r="H118" i="8" s="1"/>
  <c r="K119" i="8"/>
  <c r="K118" i="8" s="1"/>
  <c r="N119" i="8"/>
  <c r="N118" i="8" s="1"/>
  <c r="A120" i="8"/>
  <c r="E122" i="8"/>
  <c r="E121" i="8" s="1"/>
  <c r="H122" i="8"/>
  <c r="H121" i="8" s="1"/>
  <c r="K122" i="8"/>
  <c r="K121" i="8" s="1"/>
  <c r="N122" i="8"/>
  <c r="N121" i="8" s="1"/>
  <c r="A123" i="8"/>
  <c r="E125" i="8"/>
  <c r="E124" i="8" s="1"/>
  <c r="H125" i="8"/>
  <c r="H124" i="8" s="1"/>
  <c r="K125" i="8"/>
  <c r="K124" i="8" s="1"/>
  <c r="N125" i="8"/>
  <c r="N124" i="8" s="1"/>
  <c r="A126" i="8"/>
  <c r="E128" i="8"/>
  <c r="E127" i="8" s="1"/>
  <c r="H128" i="8"/>
  <c r="H127" i="8" s="1"/>
  <c r="K128" i="8"/>
  <c r="K127" i="8" s="1"/>
  <c r="N128" i="8"/>
  <c r="N127" i="8" s="1"/>
  <c r="A129" i="8"/>
  <c r="E131" i="8"/>
  <c r="E130" i="8" s="1"/>
  <c r="H131" i="8"/>
  <c r="H130" i="8" s="1"/>
  <c r="K131" i="8"/>
  <c r="K130" i="8" s="1"/>
  <c r="N131" i="8"/>
  <c r="N130" i="8" s="1"/>
  <c r="A132" i="8"/>
  <c r="E134" i="8"/>
  <c r="E133" i="8" s="1"/>
  <c r="H134" i="8"/>
  <c r="H133" i="8" s="1"/>
  <c r="K134" i="8"/>
  <c r="K133" i="8" s="1"/>
  <c r="N134" i="8"/>
  <c r="N133" i="8" s="1"/>
  <c r="A135" i="8"/>
  <c r="E137" i="8"/>
  <c r="E136" i="8" s="1"/>
  <c r="H137" i="8"/>
  <c r="H136" i="8" s="1"/>
  <c r="K137" i="8"/>
  <c r="K136" i="8" s="1"/>
  <c r="N137" i="8"/>
  <c r="N136" i="8" s="1"/>
  <c r="A138" i="8"/>
  <c r="E140" i="8"/>
  <c r="E139" i="8" s="1"/>
  <c r="H140" i="8"/>
  <c r="H139" i="8" s="1"/>
  <c r="K140" i="8"/>
  <c r="K139" i="8" s="1"/>
  <c r="N140" i="8"/>
  <c r="N139" i="8" s="1"/>
  <c r="A141" i="8"/>
  <c r="E143" i="8"/>
  <c r="E142" i="8" s="1"/>
  <c r="H143" i="8"/>
  <c r="H142" i="8" s="1"/>
  <c r="K143" i="8"/>
  <c r="K142" i="8" s="1"/>
  <c r="N143" i="8"/>
  <c r="N142" i="8" s="1"/>
  <c r="A144" i="8"/>
  <c r="E146" i="8"/>
  <c r="E145" i="8" s="1"/>
  <c r="H146" i="8"/>
  <c r="H145" i="8" s="1"/>
  <c r="K146" i="8"/>
  <c r="K145" i="8" s="1"/>
  <c r="N146" i="8"/>
  <c r="N145" i="8" s="1"/>
  <c r="A147" i="8"/>
  <c r="E149" i="8"/>
  <c r="E148" i="8" s="1"/>
  <c r="H149" i="8"/>
  <c r="H148" i="8" s="1"/>
  <c r="K149" i="8"/>
  <c r="K148" i="8" s="1"/>
  <c r="N149" i="8"/>
  <c r="N148" i="8" s="1"/>
  <c r="A153" i="8"/>
  <c r="E155" i="8"/>
  <c r="E154" i="8" s="1"/>
  <c r="H155" i="8"/>
  <c r="H154" i="8" s="1"/>
  <c r="K155" i="8"/>
  <c r="K154" i="8" s="1"/>
  <c r="N155" i="8"/>
  <c r="N154" i="8" s="1"/>
  <c r="A156" i="8"/>
  <c r="E158" i="8"/>
  <c r="E157" i="8" s="1"/>
  <c r="H158" i="8"/>
  <c r="H157" i="8" s="1"/>
  <c r="K158" i="8"/>
  <c r="K157" i="8" s="1"/>
  <c r="N158" i="8"/>
  <c r="N157" i="8" s="1"/>
  <c r="A159" i="8"/>
  <c r="E161" i="8"/>
  <c r="E160" i="8" s="1"/>
  <c r="H161" i="8"/>
  <c r="H160" i="8" s="1"/>
  <c r="K161" i="8"/>
  <c r="K160" i="8" s="1"/>
  <c r="N161" i="8"/>
  <c r="N160" i="8" s="1"/>
  <c r="A162" i="8"/>
  <c r="E164" i="8"/>
  <c r="E163" i="8" s="1"/>
  <c r="H164" i="8"/>
  <c r="H163" i="8" s="1"/>
  <c r="K164" i="8"/>
  <c r="K163" i="8" s="1"/>
  <c r="N164" i="8"/>
  <c r="N163" i="8" s="1"/>
  <c r="A165" i="8"/>
  <c r="E167" i="8"/>
  <c r="E166" i="8" s="1"/>
  <c r="H167" i="8"/>
  <c r="H166" i="8" s="1"/>
  <c r="K167" i="8"/>
  <c r="K166" i="8" s="1"/>
  <c r="N167" i="8"/>
  <c r="N166" i="8" s="1"/>
  <c r="A168" i="8"/>
  <c r="E170" i="8"/>
  <c r="E169" i="8" s="1"/>
  <c r="H170" i="8"/>
  <c r="H169" i="8" s="1"/>
  <c r="K170" i="8"/>
  <c r="K169" i="8" s="1"/>
  <c r="N170" i="8"/>
  <c r="N169" i="8" s="1"/>
  <c r="A171" i="8"/>
  <c r="E173" i="8"/>
  <c r="E172" i="8" s="1"/>
  <c r="H173" i="8"/>
  <c r="H172" i="8" s="1"/>
  <c r="K173" i="8"/>
  <c r="K172" i="8" s="1"/>
  <c r="N173" i="8"/>
  <c r="N172" i="8" s="1"/>
  <c r="A174" i="8"/>
  <c r="E176" i="8"/>
  <c r="E175" i="8" s="1"/>
  <c r="H176" i="8"/>
  <c r="H175" i="8" s="1"/>
  <c r="K176" i="8"/>
  <c r="K175" i="8" s="1"/>
  <c r="N176" i="8"/>
  <c r="N175" i="8" s="1"/>
  <c r="A177" i="8"/>
  <c r="E179" i="8"/>
  <c r="E178" i="8" s="1"/>
  <c r="H179" i="8"/>
  <c r="H178" i="8" s="1"/>
  <c r="K179" i="8"/>
  <c r="K178" i="8" s="1"/>
  <c r="N179" i="8"/>
  <c r="N178" i="8" s="1"/>
  <c r="A180" i="8"/>
  <c r="E182" i="8"/>
  <c r="E181" i="8" s="1"/>
  <c r="H182" i="8"/>
  <c r="H181" i="8" s="1"/>
  <c r="K182" i="8"/>
  <c r="K181" i="8" s="1"/>
  <c r="N182" i="8"/>
  <c r="N181" i="8" s="1"/>
  <c r="A183" i="8"/>
  <c r="E185" i="8"/>
  <c r="E184" i="8" s="1"/>
  <c r="H185" i="8"/>
  <c r="H184" i="8" s="1"/>
  <c r="K185" i="8"/>
  <c r="K184" i="8" s="1"/>
  <c r="N185" i="8"/>
  <c r="N184" i="8" s="1"/>
  <c r="A186" i="8"/>
  <c r="E188" i="8"/>
  <c r="E187" i="8" s="1"/>
  <c r="H188" i="8"/>
  <c r="H187" i="8" s="1"/>
  <c r="K188" i="8"/>
  <c r="K187" i="8" s="1"/>
  <c r="N188" i="8"/>
  <c r="N187" i="8" s="1"/>
  <c r="A189" i="8"/>
  <c r="E191" i="8"/>
  <c r="E190" i="8" s="1"/>
  <c r="H191" i="8"/>
  <c r="H190" i="8" s="1"/>
  <c r="K191" i="8"/>
  <c r="K190" i="8" s="1"/>
  <c r="N191" i="8"/>
  <c r="N190" i="8" s="1"/>
  <c r="A192" i="8"/>
  <c r="E194" i="8"/>
  <c r="E193" i="8" s="1"/>
  <c r="H194" i="8"/>
  <c r="H193" i="8" s="1"/>
  <c r="K194" i="8"/>
  <c r="K193" i="8" s="1"/>
  <c r="N194" i="8"/>
  <c r="N193" i="8" s="1"/>
  <c r="A195" i="8"/>
  <c r="E197" i="8"/>
  <c r="E196" i="8" s="1"/>
  <c r="H197" i="8"/>
  <c r="H196" i="8" s="1"/>
  <c r="K197" i="8"/>
  <c r="K196" i="8" s="1"/>
  <c r="N197" i="8"/>
  <c r="N196" i="8" s="1"/>
  <c r="A198" i="8"/>
  <c r="E200" i="8"/>
  <c r="E199" i="8" s="1"/>
  <c r="H200" i="8"/>
  <c r="H199" i="8" s="1"/>
  <c r="K200" i="8"/>
  <c r="K199" i="8" s="1"/>
  <c r="N200" i="8"/>
  <c r="N199" i="8" s="1"/>
  <c r="A204" i="8"/>
  <c r="E206" i="8"/>
  <c r="E205" i="8" s="1"/>
  <c r="H206" i="8"/>
  <c r="H205" i="8" s="1"/>
  <c r="K206" i="8"/>
  <c r="K205" i="8" s="1"/>
  <c r="N206" i="8"/>
  <c r="N205" i="8" s="1"/>
  <c r="A207" i="8"/>
  <c r="E209" i="8"/>
  <c r="E208" i="8" s="1"/>
  <c r="H209" i="8"/>
  <c r="H208" i="8" s="1"/>
  <c r="K209" i="8"/>
  <c r="K208" i="8" s="1"/>
  <c r="N209" i="8"/>
  <c r="N208" i="8" s="1"/>
  <c r="A210" i="8"/>
  <c r="E212" i="8"/>
  <c r="E211" i="8" s="1"/>
  <c r="H212" i="8"/>
  <c r="H211" i="8" s="1"/>
  <c r="K212" i="8"/>
  <c r="K211" i="8" s="1"/>
  <c r="N212" i="8"/>
  <c r="N211" i="8" s="1"/>
  <c r="A213" i="8"/>
  <c r="E215" i="8"/>
  <c r="E214" i="8" s="1"/>
  <c r="H215" i="8"/>
  <c r="H214" i="8" s="1"/>
  <c r="K215" i="8"/>
  <c r="K214" i="8" s="1"/>
  <c r="N215" i="8"/>
  <c r="N214" i="8" s="1"/>
  <c r="A216" i="8"/>
  <c r="E218" i="8"/>
  <c r="E217" i="8" s="1"/>
  <c r="H218" i="8"/>
  <c r="H217" i="8" s="1"/>
  <c r="K218" i="8"/>
  <c r="K217" i="8" s="1"/>
  <c r="N218" i="8"/>
  <c r="N217" i="8" s="1"/>
  <c r="A219" i="8"/>
  <c r="E221" i="8"/>
  <c r="E220" i="8" s="1"/>
  <c r="H221" i="8"/>
  <c r="H220" i="8" s="1"/>
  <c r="K221" i="8"/>
  <c r="K220" i="8" s="1"/>
  <c r="N221" i="8"/>
  <c r="N220" i="8" s="1"/>
  <c r="A222" i="8"/>
  <c r="E224" i="8"/>
  <c r="E223" i="8" s="1"/>
  <c r="H224" i="8"/>
  <c r="H223" i="8" s="1"/>
  <c r="K224" i="8"/>
  <c r="K223" i="8" s="1"/>
  <c r="N224" i="8"/>
  <c r="N223" i="8" s="1"/>
  <c r="A225" i="8"/>
  <c r="E227" i="8"/>
  <c r="E226" i="8" s="1"/>
  <c r="H227" i="8"/>
  <c r="H226" i="8" s="1"/>
  <c r="K227" i="8"/>
  <c r="K226" i="8" s="1"/>
  <c r="N227" i="8"/>
  <c r="N226" i="8" s="1"/>
  <c r="U3" i="9"/>
  <c r="U4" i="9"/>
  <c r="U5" i="9"/>
  <c r="U6" i="9"/>
  <c r="W3" i="9"/>
  <c r="U7" i="9"/>
  <c r="U8" i="9"/>
  <c r="U9" i="9"/>
  <c r="U10" i="9"/>
  <c r="W4" i="9"/>
  <c r="U11" i="9"/>
  <c r="U12" i="9"/>
  <c r="U13" i="9"/>
  <c r="U14" i="9"/>
  <c r="U15" i="9"/>
  <c r="U16" i="9"/>
  <c r="U17" i="9"/>
  <c r="W5" i="9"/>
  <c r="U18" i="9"/>
  <c r="U19" i="9"/>
  <c r="U20" i="9"/>
  <c r="U21" i="9"/>
  <c r="U22" i="9"/>
  <c r="U23" i="9"/>
  <c r="U24" i="9"/>
  <c r="W6" i="9"/>
  <c r="U25" i="9"/>
  <c r="U26" i="9"/>
  <c r="U27" i="9"/>
  <c r="U28" i="9"/>
  <c r="U29" i="9"/>
  <c r="U30" i="9"/>
  <c r="U31" i="9"/>
  <c r="W7" i="9"/>
  <c r="U32" i="9"/>
  <c r="U33" i="9"/>
  <c r="U34" i="9"/>
  <c r="U35" i="9"/>
  <c r="U36" i="9"/>
  <c r="U37" i="9"/>
  <c r="U38" i="9"/>
  <c r="W8" i="9"/>
  <c r="U39" i="9"/>
  <c r="U40" i="9"/>
  <c r="U41" i="9"/>
  <c r="U42" i="9"/>
  <c r="U43" i="9"/>
  <c r="U44" i="9"/>
  <c r="U45" i="9"/>
  <c r="W9" i="9"/>
  <c r="U46" i="9"/>
  <c r="U47" i="9"/>
  <c r="U48" i="9"/>
  <c r="U49" i="9"/>
  <c r="U50" i="9"/>
  <c r="U51" i="9"/>
  <c r="U52" i="9"/>
  <c r="W10" i="9"/>
  <c r="U53" i="9"/>
  <c r="U54" i="9"/>
  <c r="U55" i="9"/>
  <c r="U56" i="9"/>
  <c r="U57" i="9"/>
  <c r="U58" i="9"/>
  <c r="U59" i="9"/>
  <c r="W11" i="9"/>
  <c r="U60" i="9"/>
  <c r="U61" i="9"/>
  <c r="U62" i="9"/>
  <c r="U63" i="9"/>
  <c r="U64" i="9"/>
  <c r="U65" i="9"/>
  <c r="U66" i="9"/>
  <c r="W12" i="9"/>
  <c r="U67" i="9"/>
  <c r="U68" i="9"/>
  <c r="U69" i="9"/>
  <c r="U70" i="9"/>
  <c r="U71" i="9"/>
  <c r="U7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O31" i="9"/>
  <c r="P31" i="9"/>
  <c r="Q31" i="9"/>
  <c r="O32" i="9"/>
  <c r="P32" i="9"/>
  <c r="Q32" i="9"/>
  <c r="O27" i="9"/>
  <c r="P27" i="9"/>
  <c r="Q27" i="9"/>
  <c r="O26" i="9"/>
  <c r="P26" i="9"/>
  <c r="Q26" i="9"/>
  <c r="O12" i="9"/>
  <c r="P12" i="9"/>
  <c r="Q12" i="9"/>
  <c r="O14" i="9"/>
  <c r="P14" i="9"/>
  <c r="Q14" i="9"/>
  <c r="O11" i="9"/>
  <c r="P11" i="9"/>
  <c r="Q11" i="9"/>
  <c r="O5" i="9"/>
  <c r="E4" i="17" s="1"/>
  <c r="G4" i="17" s="1"/>
  <c r="P5" i="9"/>
  <c r="Q5" i="9"/>
  <c r="O25" i="9"/>
  <c r="P25" i="9"/>
  <c r="Q25" i="9"/>
  <c r="O37" i="9"/>
  <c r="P37" i="9"/>
  <c r="Q37" i="9"/>
  <c r="O6" i="9"/>
  <c r="P6" i="9"/>
  <c r="Q6" i="9"/>
  <c r="O19" i="9"/>
  <c r="P19" i="9"/>
  <c r="Q19" i="9"/>
  <c r="O28" i="9"/>
  <c r="P28" i="9"/>
  <c r="Q28" i="9"/>
  <c r="O30" i="9"/>
  <c r="P30" i="9"/>
  <c r="Q30" i="9"/>
  <c r="O8" i="9"/>
  <c r="P8" i="9"/>
  <c r="Q8" i="9"/>
  <c r="O23" i="9"/>
  <c r="P23" i="9"/>
  <c r="Q23" i="9"/>
  <c r="O36" i="9"/>
  <c r="P36" i="9"/>
  <c r="Q36" i="9"/>
  <c r="O15" i="9"/>
  <c r="P15" i="9"/>
  <c r="Q15" i="9"/>
  <c r="O13" i="9"/>
  <c r="P13" i="9"/>
  <c r="Q13" i="9"/>
  <c r="O33" i="9"/>
  <c r="P33" i="9"/>
  <c r="Q33" i="9"/>
  <c r="O35" i="9"/>
  <c r="P35" i="9"/>
  <c r="Q35" i="9"/>
  <c r="O4" i="9"/>
  <c r="P4" i="9"/>
  <c r="E38" i="17" s="1"/>
  <c r="Q4" i="9"/>
  <c r="O10" i="9"/>
  <c r="P10" i="9"/>
  <c r="Q10" i="9"/>
  <c r="O20" i="9"/>
  <c r="P20" i="9"/>
  <c r="Q20" i="9"/>
  <c r="O22" i="9"/>
  <c r="P22" i="9"/>
  <c r="Q22" i="9"/>
  <c r="O18" i="9"/>
  <c r="P18" i="9"/>
  <c r="Q18" i="9"/>
  <c r="O29" i="9"/>
  <c r="P29" i="9"/>
  <c r="Q29" i="9"/>
  <c r="O17" i="9"/>
  <c r="P17" i="9"/>
  <c r="Q17" i="9"/>
  <c r="O16" i="9"/>
  <c r="P16" i="9"/>
  <c r="Q16" i="9"/>
  <c r="O24" i="9"/>
  <c r="P24" i="9"/>
  <c r="Q24" i="9"/>
  <c r="O34" i="9"/>
  <c r="P34" i="9"/>
  <c r="Q34" i="9"/>
  <c r="O7" i="9"/>
  <c r="E6" i="17" s="1"/>
  <c r="P7" i="9"/>
  <c r="Q7" i="9"/>
  <c r="O9" i="9"/>
  <c r="P9" i="9"/>
  <c r="Q9" i="9"/>
  <c r="O21" i="9"/>
  <c r="P21" i="9"/>
  <c r="Q21" i="9"/>
  <c r="O142" i="9"/>
  <c r="P142" i="9"/>
  <c r="Q142" i="9"/>
  <c r="O140" i="9"/>
  <c r="P140" i="9"/>
  <c r="Q140" i="9"/>
  <c r="O126" i="9"/>
  <c r="P126" i="9"/>
  <c r="Q126" i="9"/>
  <c r="O127" i="9"/>
  <c r="P127" i="9"/>
  <c r="Q127" i="9"/>
  <c r="O119" i="9"/>
  <c r="P119" i="9"/>
  <c r="Q119" i="9"/>
  <c r="O120" i="9"/>
  <c r="P120" i="9"/>
  <c r="Q120" i="9"/>
  <c r="O116" i="9"/>
  <c r="P116" i="9"/>
  <c r="Q116" i="9"/>
  <c r="O115" i="9"/>
  <c r="P115" i="9"/>
  <c r="E148" i="17" s="1"/>
  <c r="F148" i="17" s="1"/>
  <c r="Q115" i="9"/>
  <c r="O117" i="9"/>
  <c r="P117" i="9"/>
  <c r="Q117" i="9"/>
  <c r="O130" i="9"/>
  <c r="P130" i="9"/>
  <c r="Q130" i="9"/>
  <c r="O141" i="9"/>
  <c r="P141" i="9"/>
  <c r="Q141" i="9"/>
  <c r="O113" i="9"/>
  <c r="P113" i="9"/>
  <c r="Q113" i="9"/>
  <c r="O132" i="9"/>
  <c r="P132" i="9"/>
  <c r="Q132" i="9"/>
  <c r="O139" i="9"/>
  <c r="P139" i="9"/>
  <c r="Q139" i="9"/>
  <c r="O143" i="9"/>
  <c r="P143" i="9"/>
  <c r="Q143" i="9"/>
  <c r="O112" i="9"/>
  <c r="P112" i="9"/>
  <c r="Q112" i="9"/>
  <c r="O131" i="9"/>
  <c r="P131" i="9"/>
  <c r="Q131" i="9"/>
  <c r="O134" i="9"/>
  <c r="P134" i="9"/>
  <c r="Q134" i="9"/>
  <c r="O118" i="9"/>
  <c r="P118" i="9"/>
  <c r="Q118" i="9"/>
  <c r="O111" i="9"/>
  <c r="P111" i="9"/>
  <c r="E144" i="17" s="1"/>
  <c r="Q111" i="9"/>
  <c r="E179" i="17" s="1"/>
  <c r="O136" i="9"/>
  <c r="P136" i="9"/>
  <c r="Q136" i="9"/>
  <c r="O135" i="9"/>
  <c r="P135" i="9"/>
  <c r="Q135" i="9"/>
  <c r="O110" i="9"/>
  <c r="E108" i="17" s="1"/>
  <c r="P110" i="9"/>
  <c r="Q110" i="9"/>
  <c r="O124" i="9"/>
  <c r="P124" i="9"/>
  <c r="Q124" i="9"/>
  <c r="O129" i="9"/>
  <c r="P129" i="9"/>
  <c r="Q129" i="9"/>
  <c r="O122" i="9"/>
  <c r="P122" i="9"/>
  <c r="Q122" i="9"/>
  <c r="O137" i="9"/>
  <c r="P137" i="9"/>
  <c r="Q137" i="9"/>
  <c r="O125" i="9"/>
  <c r="P125" i="9"/>
  <c r="Q125" i="9"/>
  <c r="O133" i="9"/>
  <c r="P133" i="9"/>
  <c r="Q133" i="9"/>
  <c r="O128" i="9"/>
  <c r="P128" i="9"/>
  <c r="Q128" i="9"/>
  <c r="O138" i="9"/>
  <c r="P138" i="9"/>
  <c r="Q138" i="9"/>
  <c r="O121" i="9"/>
  <c r="P121" i="9"/>
  <c r="Q121" i="9"/>
  <c r="O114" i="9"/>
  <c r="P114" i="9"/>
  <c r="Q114" i="9"/>
  <c r="O123" i="9"/>
  <c r="P123" i="9"/>
  <c r="Q123" i="9"/>
  <c r="O244" i="9"/>
  <c r="P244" i="9"/>
  <c r="Q244" i="9"/>
  <c r="O227" i="9"/>
  <c r="P227" i="9"/>
  <c r="Q227" i="9"/>
  <c r="O225" i="9"/>
  <c r="P225" i="9"/>
  <c r="Q225" i="9"/>
  <c r="O242" i="9"/>
  <c r="P242" i="9"/>
  <c r="Q242" i="9"/>
  <c r="O237" i="9"/>
  <c r="P237" i="9"/>
  <c r="Q237" i="9"/>
  <c r="O221" i="9"/>
  <c r="P221" i="9"/>
  <c r="E253" i="17" s="1"/>
  <c r="Q221" i="9"/>
  <c r="E288" i="17" s="1"/>
  <c r="O249" i="9"/>
  <c r="P249" i="9"/>
  <c r="Q249" i="9"/>
  <c r="O243" i="9"/>
  <c r="P243" i="9"/>
  <c r="Q243" i="9"/>
  <c r="O223" i="9"/>
  <c r="P223" i="9"/>
  <c r="E255" i="17" s="1"/>
  <c r="Q223" i="9"/>
  <c r="O222" i="9"/>
  <c r="P222" i="9"/>
  <c r="Q222" i="9"/>
  <c r="E289" i="17" s="1"/>
  <c r="F289" i="17" s="1"/>
  <c r="O219" i="9"/>
  <c r="P219" i="9"/>
  <c r="Q219" i="9"/>
  <c r="O234" i="9"/>
  <c r="P234" i="9"/>
  <c r="Q234" i="9"/>
  <c r="O247" i="9"/>
  <c r="P247" i="9"/>
  <c r="Q247" i="9"/>
  <c r="O233" i="9"/>
  <c r="P233" i="9"/>
  <c r="Q233" i="9"/>
  <c r="O236" i="9"/>
  <c r="P236" i="9"/>
  <c r="Q236" i="9"/>
  <c r="O216" i="9"/>
  <c r="P216" i="9"/>
  <c r="Q216" i="9"/>
  <c r="O238" i="9"/>
  <c r="P238" i="9"/>
  <c r="Q238" i="9"/>
  <c r="O240" i="9"/>
  <c r="P240" i="9"/>
  <c r="Q240" i="9"/>
  <c r="O241" i="9"/>
  <c r="P241" i="9"/>
  <c r="Q241" i="9"/>
  <c r="O224" i="9"/>
  <c r="P224" i="9"/>
  <c r="Q224" i="9"/>
  <c r="O228" i="9"/>
  <c r="P228" i="9"/>
  <c r="Q228" i="9"/>
  <c r="O229" i="9"/>
  <c r="P229" i="9"/>
  <c r="Q229" i="9"/>
  <c r="O245" i="9"/>
  <c r="P245" i="9"/>
  <c r="Q245" i="9"/>
  <c r="O230" i="9"/>
  <c r="P230" i="9"/>
  <c r="Q230" i="9"/>
  <c r="O246" i="9"/>
  <c r="P246" i="9"/>
  <c r="Q246" i="9"/>
  <c r="O235" i="9"/>
  <c r="P235" i="9"/>
  <c r="Q235" i="9"/>
  <c r="O231" i="9"/>
  <c r="P231" i="9"/>
  <c r="Q231" i="9"/>
  <c r="O248" i="9"/>
  <c r="P248" i="9"/>
  <c r="Q248" i="9"/>
  <c r="O239" i="9"/>
  <c r="P239" i="9"/>
  <c r="Q239" i="9"/>
  <c r="O218" i="9"/>
  <c r="E215" i="17" s="1"/>
  <c r="F215" i="17" s="1"/>
  <c r="P218" i="9"/>
  <c r="E250" i="17" s="1"/>
  <c r="Q218" i="9"/>
  <c r="O226" i="9"/>
  <c r="P226" i="9"/>
  <c r="Q226" i="9"/>
  <c r="O217" i="9"/>
  <c r="E214" i="17" s="1"/>
  <c r="P217" i="9"/>
  <c r="Q217" i="9"/>
  <c r="O232" i="9"/>
  <c r="P232" i="9"/>
  <c r="Q232" i="9"/>
  <c r="O220" i="9"/>
  <c r="P220" i="9"/>
  <c r="Q220" i="9"/>
  <c r="O352" i="9"/>
  <c r="P352" i="9"/>
  <c r="Q352" i="9"/>
  <c r="O323" i="9"/>
  <c r="P323" i="9"/>
  <c r="Q323" i="9"/>
  <c r="O327" i="9"/>
  <c r="P327" i="9"/>
  <c r="E358" i="17" s="1"/>
  <c r="F358" i="17" s="1"/>
  <c r="Q327" i="9"/>
  <c r="O355" i="9"/>
  <c r="P355" i="9"/>
  <c r="Q355" i="9"/>
  <c r="O345" i="9"/>
  <c r="P345" i="9"/>
  <c r="Q345" i="9"/>
  <c r="O326" i="9"/>
  <c r="E322" i="17" s="1"/>
  <c r="P326" i="9"/>
  <c r="Q326" i="9"/>
  <c r="O351" i="9"/>
  <c r="P351" i="9"/>
  <c r="Q351" i="9"/>
  <c r="O353" i="9"/>
  <c r="P353" i="9"/>
  <c r="Q353" i="9"/>
  <c r="O328" i="9"/>
  <c r="E324" i="17" s="1"/>
  <c r="P328" i="9"/>
  <c r="Q328" i="9"/>
  <c r="O332" i="9"/>
  <c r="P332" i="9"/>
  <c r="Q332" i="9"/>
  <c r="O324" i="9"/>
  <c r="P324" i="9"/>
  <c r="E355" i="17" s="1"/>
  <c r="Q324" i="9"/>
  <c r="O338" i="9"/>
  <c r="P338" i="9"/>
  <c r="Q338" i="9"/>
  <c r="O350" i="9"/>
  <c r="P350" i="9"/>
  <c r="Q350" i="9"/>
  <c r="O339" i="9"/>
  <c r="P339" i="9"/>
  <c r="Q339" i="9"/>
  <c r="O342" i="9"/>
  <c r="P342" i="9"/>
  <c r="Q342" i="9"/>
  <c r="O325" i="9"/>
  <c r="P325" i="9"/>
  <c r="Q325" i="9"/>
  <c r="O341" i="9"/>
  <c r="P341" i="9"/>
  <c r="Q341" i="9"/>
  <c r="O346" i="9"/>
  <c r="P346" i="9"/>
  <c r="Q346" i="9"/>
  <c r="O347" i="9"/>
  <c r="P347" i="9"/>
  <c r="Q347" i="9"/>
  <c r="O330" i="9"/>
  <c r="P330" i="9"/>
  <c r="Q330" i="9"/>
  <c r="O322" i="9"/>
  <c r="P322" i="9"/>
  <c r="Q322" i="9"/>
  <c r="O337" i="9"/>
  <c r="P337" i="9"/>
  <c r="Q337" i="9"/>
  <c r="O340" i="9"/>
  <c r="P340" i="9"/>
  <c r="Q340" i="9"/>
  <c r="O348" i="9"/>
  <c r="P348" i="9"/>
  <c r="Q348" i="9"/>
  <c r="O335" i="9"/>
  <c r="P335" i="9"/>
  <c r="Q335" i="9"/>
  <c r="O349" i="9"/>
  <c r="P349" i="9"/>
  <c r="Q349" i="9"/>
  <c r="O344" i="9"/>
  <c r="P344" i="9"/>
  <c r="Q344" i="9"/>
  <c r="O336" i="9"/>
  <c r="P336" i="9"/>
  <c r="Q336" i="9"/>
  <c r="O354" i="9"/>
  <c r="P354" i="9"/>
  <c r="Q354" i="9"/>
  <c r="O334" i="9"/>
  <c r="P334" i="9"/>
  <c r="Q334" i="9"/>
  <c r="O333" i="9"/>
  <c r="P333" i="9"/>
  <c r="Q333" i="9"/>
  <c r="O329" i="9"/>
  <c r="P329" i="9"/>
  <c r="Q329" i="9"/>
  <c r="E395" i="17" s="1"/>
  <c r="F395" i="17" s="1"/>
  <c r="O343" i="9"/>
  <c r="P343" i="9"/>
  <c r="Q343" i="9"/>
  <c r="O331" i="9"/>
  <c r="P331" i="9"/>
  <c r="Q331" i="9"/>
  <c r="C34" i="18"/>
  <c r="K34" i="18" s="1"/>
  <c r="M34" i="18" s="1"/>
  <c r="E34" i="18"/>
  <c r="D34" i="18"/>
  <c r="F34" i="18"/>
  <c r="L34" i="18" s="1"/>
  <c r="C33" i="18"/>
  <c r="E33" i="18"/>
  <c r="K33" i="18" s="1"/>
  <c r="D33" i="18"/>
  <c r="F33" i="18"/>
  <c r="C32" i="18"/>
  <c r="E32" i="18"/>
  <c r="D32" i="18"/>
  <c r="L32" i="18" s="1"/>
  <c r="F32" i="18"/>
  <c r="C31" i="18"/>
  <c r="K31" i="18" s="1"/>
  <c r="M31" i="18" s="1"/>
  <c r="E31" i="18"/>
  <c r="D31" i="18"/>
  <c r="L31" i="18" s="1"/>
  <c r="F31" i="18"/>
  <c r="D30" i="18"/>
  <c r="L30" i="18" s="1"/>
  <c r="M30" i="18" s="1"/>
  <c r="F30" i="18"/>
  <c r="D29" i="18"/>
  <c r="L29" i="18" s="1"/>
  <c r="M29" i="18" s="1"/>
  <c r="F29" i="18"/>
  <c r="D28" i="18"/>
  <c r="L28" i="18" s="1"/>
  <c r="M28" i="18" s="1"/>
  <c r="F28" i="18"/>
  <c r="C27" i="18"/>
  <c r="K27" i="18" s="1"/>
  <c r="M27" i="18" s="1"/>
  <c r="E27" i="18"/>
  <c r="C26" i="18"/>
  <c r="K26" i="18" s="1"/>
  <c r="M26" i="18" s="1"/>
  <c r="E26" i="18"/>
  <c r="C25" i="18"/>
  <c r="K25" i="18" s="1"/>
  <c r="M25" i="18" s="1"/>
  <c r="E25" i="18"/>
  <c r="E317" i="17"/>
  <c r="F317" i="17" s="1"/>
  <c r="E320" i="17"/>
  <c r="G320" i="17" s="1"/>
  <c r="E321" i="17"/>
  <c r="F321" i="17" s="1"/>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G353" i="17" s="1"/>
  <c r="E359" i="17"/>
  <c r="F359" i="17" s="1"/>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G389" i="17" s="1"/>
  <c r="E390" i="17"/>
  <c r="G390" i="17" s="1"/>
  <c r="E391" i="17"/>
  <c r="F391" i="17" s="1"/>
  <c r="E392" i="17"/>
  <c r="F392" i="17" s="1"/>
  <c r="E394"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212" i="17"/>
  <c r="F212" i="17" s="1"/>
  <c r="E216" i="17"/>
  <c r="F216" i="17" s="1"/>
  <c r="E218" i="17"/>
  <c r="F218" i="17" s="1"/>
  <c r="E219" i="17"/>
  <c r="F219" i="17" s="1"/>
  <c r="E220" i="17"/>
  <c r="F220" i="17" s="1"/>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9" i="17"/>
  <c r="E254" i="17"/>
  <c r="F254" i="17" s="1"/>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F282" i="17" s="1"/>
  <c r="E283" i="17"/>
  <c r="F283" i="17" s="1"/>
  <c r="E284" i="17"/>
  <c r="F284" i="17" s="1"/>
  <c r="E285" i="17"/>
  <c r="G285" i="17" s="1"/>
  <c r="E286" i="17"/>
  <c r="G286" i="17" s="1"/>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109" i="17"/>
  <c r="E110" i="17"/>
  <c r="F110" i="17" s="1"/>
  <c r="E112" i="17"/>
  <c r="G112" i="17" s="1"/>
  <c r="E113" i="17"/>
  <c r="E115" i="17"/>
  <c r="F115" i="17" s="1"/>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3" i="17"/>
  <c r="E145" i="17"/>
  <c r="G145" i="17" s="1"/>
  <c r="E147" i="17"/>
  <c r="F147" i="17" s="1"/>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8" i="17"/>
  <c r="G178" i="17" s="1"/>
  <c r="E182" i="17"/>
  <c r="E183" i="17"/>
  <c r="G183" i="17" s="1"/>
  <c r="E185" i="17"/>
  <c r="F185" i="17" s="1"/>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 i="17"/>
  <c r="E3" i="17"/>
  <c r="E7" i="17"/>
  <c r="G7" i="17" s="1"/>
  <c r="E8" i="17"/>
  <c r="G8" i="17" s="1"/>
  <c r="E9" i="17"/>
  <c r="F9" i="17" s="1"/>
  <c r="E10" i="17"/>
  <c r="F10" i="17" s="1"/>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G37" i="17" s="1"/>
  <c r="E39" i="17"/>
  <c r="E41" i="17"/>
  <c r="G41" i="17" s="1"/>
  <c r="E42" i="17"/>
  <c r="G42" i="17" s="1"/>
  <c r="E45" i="17"/>
  <c r="G45" i="17" s="1"/>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F72" i="17" s="1"/>
  <c r="E73" i="17"/>
  <c r="F73" i="17" s="1"/>
  <c r="E74" i="17"/>
  <c r="E76" i="17"/>
  <c r="E77" i="17"/>
  <c r="E78" i="17"/>
  <c r="G78" i="17" s="1"/>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I31" i="18"/>
  <c r="J30" i="18"/>
  <c r="J29" i="18"/>
  <c r="J28" i="18"/>
  <c r="I27" i="18"/>
  <c r="I26" i="18"/>
  <c r="I25" i="18"/>
  <c r="A19" i="18"/>
  <c r="F19" i="18" s="1"/>
  <c r="A18" i="18"/>
  <c r="F18" i="18" s="1"/>
  <c r="A17" i="18"/>
  <c r="C17" i="18" s="1"/>
  <c r="F14" i="18"/>
  <c r="F13" i="18"/>
  <c r="F12" i="18"/>
  <c r="F9" i="18"/>
  <c r="F8" i="18"/>
  <c r="J34" i="18"/>
  <c r="I34" i="18"/>
  <c r="J33" i="18"/>
  <c r="I33" i="18"/>
  <c r="J32" i="18"/>
  <c r="I32" i="18"/>
  <c r="K32" i="18" s="1"/>
  <c r="M32" i="18" s="1"/>
  <c r="J31" i="18"/>
  <c r="H34" i="18"/>
  <c r="G34" i="18"/>
  <c r="H33" i="18"/>
  <c r="L33" i="18" s="1"/>
  <c r="G33" i="18"/>
  <c r="H32" i="18"/>
  <c r="G32" i="18"/>
  <c r="H31" i="18"/>
  <c r="G31" i="18"/>
  <c r="H30" i="18"/>
  <c r="H29" i="18"/>
  <c r="H28" i="18"/>
  <c r="G27" i="18"/>
  <c r="G26" i="18"/>
  <c r="G25" i="18"/>
  <c r="E19" i="18"/>
  <c r="E18" i="18"/>
  <c r="E14" i="18"/>
  <c r="E13" i="18"/>
  <c r="E12" i="18"/>
  <c r="E9" i="18"/>
  <c r="E8" i="18"/>
  <c r="D5" i="18"/>
  <c r="D4" i="18"/>
  <c r="D18" i="18"/>
  <c r="D17" i="18"/>
  <c r="D14" i="18"/>
  <c r="D13" i="18"/>
  <c r="D12" i="18"/>
  <c r="D9" i="18"/>
  <c r="D8" i="18"/>
  <c r="C18" i="18"/>
  <c r="C14" i="18"/>
  <c r="C13" i="18"/>
  <c r="C12" i="18"/>
  <c r="C9" i="18"/>
  <c r="C8" i="18"/>
  <c r="C5" i="18"/>
  <c r="C4" i="18"/>
  <c r="M336" i="16"/>
  <c r="O336" i="16"/>
  <c r="J319" i="17" s="1"/>
  <c r="K319" i="17" s="1"/>
  <c r="K353" i="17" s="1"/>
  <c r="K387" i="17" s="1"/>
  <c r="K421" i="17" s="1"/>
  <c r="J353" i="17"/>
  <c r="J387" i="17" s="1"/>
  <c r="J421" i="17" s="1"/>
  <c r="I336" i="16"/>
  <c r="N336" i="16"/>
  <c r="H319" i="17" s="1"/>
  <c r="H353" i="17" s="1"/>
  <c r="H387" i="17" s="1"/>
  <c r="H421" i="17" s="1"/>
  <c r="I319" i="17"/>
  <c r="I353" i="17" s="1"/>
  <c r="I387" i="17" s="1"/>
  <c r="I421" i="17" s="1"/>
  <c r="M333" i="16"/>
  <c r="O333" i="16"/>
  <c r="J318" i="17" s="1"/>
  <c r="K318" i="17" s="1"/>
  <c r="K352" i="17" s="1"/>
  <c r="K386" i="17" s="1"/>
  <c r="K420" i="17" s="1"/>
  <c r="J352" i="17"/>
  <c r="J386" i="17" s="1"/>
  <c r="J420" i="17" s="1"/>
  <c r="I333" i="16"/>
  <c r="N333" i="16"/>
  <c r="H318" i="17" s="1"/>
  <c r="H352" i="17" s="1"/>
  <c r="H386" i="17" s="1"/>
  <c r="H420" i="17" s="1"/>
  <c r="I318" i="17"/>
  <c r="I352" i="17" s="1"/>
  <c r="I386" i="17" s="1"/>
  <c r="I420" i="17" s="1"/>
  <c r="M432" i="16"/>
  <c r="O432" i="16"/>
  <c r="J351" i="17" s="1"/>
  <c r="I432" i="16"/>
  <c r="N432" i="16"/>
  <c r="H351" i="17" s="1"/>
  <c r="H385" i="17" s="1"/>
  <c r="I351" i="17"/>
  <c r="I385" i="17" s="1"/>
  <c r="I419" i="17"/>
  <c r="H419" i="17"/>
  <c r="M429" i="16"/>
  <c r="O429" i="16"/>
  <c r="J350" i="17" s="1"/>
  <c r="J384" i="17" s="1"/>
  <c r="J418" i="17" s="1"/>
  <c r="I429" i="16"/>
  <c r="N429" i="16"/>
  <c r="H350" i="17" s="1"/>
  <c r="H384" i="17" s="1"/>
  <c r="H418" i="17" s="1"/>
  <c r="M426" i="16"/>
  <c r="O426" i="16"/>
  <c r="J349" i="17" s="1"/>
  <c r="I426" i="16"/>
  <c r="N426" i="16"/>
  <c r="H349" i="17" s="1"/>
  <c r="H383" i="17" s="1"/>
  <c r="I349" i="17"/>
  <c r="I383" i="17" s="1"/>
  <c r="I417" i="17" s="1"/>
  <c r="H417" i="17"/>
  <c r="M423" i="16"/>
  <c r="O423" i="16"/>
  <c r="J348" i="17" s="1"/>
  <c r="J382" i="17" s="1"/>
  <c r="J416" i="17" s="1"/>
  <c r="I423" i="16"/>
  <c r="N423" i="16"/>
  <c r="H348" i="17" s="1"/>
  <c r="H382" i="17" s="1"/>
  <c r="H416" i="17"/>
  <c r="M420" i="16"/>
  <c r="O420" i="16"/>
  <c r="J347" i="17" s="1"/>
  <c r="I420" i="16"/>
  <c r="N420" i="16"/>
  <c r="H347" i="17" s="1"/>
  <c r="H381" i="17" s="1"/>
  <c r="I347" i="17"/>
  <c r="I381" i="17" s="1"/>
  <c r="I415" i="17"/>
  <c r="H415" i="17"/>
  <c r="M417" i="16"/>
  <c r="O417" i="16"/>
  <c r="J346" i="17" s="1"/>
  <c r="J380" i="17" s="1"/>
  <c r="J414" i="17" s="1"/>
  <c r="K346" i="17"/>
  <c r="K380" i="17" s="1"/>
  <c r="K414" i="17" s="1"/>
  <c r="I417" i="16"/>
  <c r="N417" i="16"/>
  <c r="H346" i="17" s="1"/>
  <c r="H380" i="17" s="1"/>
  <c r="I346" i="17"/>
  <c r="I380" i="17" s="1"/>
  <c r="I414" i="17" s="1"/>
  <c r="H414" i="17"/>
  <c r="M414" i="16"/>
  <c r="O414" i="16"/>
  <c r="J345" i="17" s="1"/>
  <c r="I414" i="16"/>
  <c r="N414" i="16"/>
  <c r="H345" i="17" s="1"/>
  <c r="H379" i="17" s="1"/>
  <c r="I345" i="17"/>
  <c r="I379" i="17" s="1"/>
  <c r="I413" i="17" s="1"/>
  <c r="H413" i="17"/>
  <c r="M411" i="16"/>
  <c r="O411" i="16"/>
  <c r="J344" i="17" s="1"/>
  <c r="I411" i="16"/>
  <c r="N411" i="16"/>
  <c r="H344" i="17" s="1"/>
  <c r="M408" i="16"/>
  <c r="O408" i="16"/>
  <c r="J343" i="17" s="1"/>
  <c r="I408" i="16"/>
  <c r="N408" i="16"/>
  <c r="H343" i="17" s="1"/>
  <c r="H377" i="17" s="1"/>
  <c r="I343" i="17"/>
  <c r="I377" i="17" s="1"/>
  <c r="I411" i="17"/>
  <c r="H411" i="17"/>
  <c r="M405" i="16"/>
  <c r="O405" i="16"/>
  <c r="J342" i="17" s="1"/>
  <c r="J376" i="17" s="1"/>
  <c r="J410" i="17" s="1"/>
  <c r="K342" i="17"/>
  <c r="K376" i="17" s="1"/>
  <c r="K410" i="17" s="1"/>
  <c r="I405" i="16"/>
  <c r="N405" i="16"/>
  <c r="H342" i="17" s="1"/>
  <c r="H376" i="17" s="1"/>
  <c r="H410" i="17" s="1"/>
  <c r="I342" i="17"/>
  <c r="I376" i="17" s="1"/>
  <c r="I410" i="17" s="1"/>
  <c r="M402" i="16"/>
  <c r="O402" i="16"/>
  <c r="J341" i="17" s="1"/>
  <c r="I402" i="16"/>
  <c r="N402" i="16"/>
  <c r="H341" i="17" s="1"/>
  <c r="H375" i="17" s="1"/>
  <c r="I341" i="17"/>
  <c r="I375" i="17" s="1"/>
  <c r="I409" i="17" s="1"/>
  <c r="H409" i="17"/>
  <c r="M399" i="16"/>
  <c r="O399" i="16"/>
  <c r="J340" i="17" s="1"/>
  <c r="J374" i="17" s="1"/>
  <c r="J408" i="17" s="1"/>
  <c r="I399" i="16"/>
  <c r="N399" i="16"/>
  <c r="H340" i="17" s="1"/>
  <c r="H374" i="17" s="1"/>
  <c r="H408" i="17"/>
  <c r="M396" i="16"/>
  <c r="O396" i="16"/>
  <c r="J339" i="17" s="1"/>
  <c r="I396" i="16"/>
  <c r="N396" i="16"/>
  <c r="H339" i="17" s="1"/>
  <c r="H373" i="17" s="1"/>
  <c r="I339" i="17"/>
  <c r="I373" i="17" s="1"/>
  <c r="I407" i="17"/>
  <c r="H407" i="17"/>
  <c r="M393" i="16"/>
  <c r="O393" i="16"/>
  <c r="J338" i="17" s="1"/>
  <c r="J372" i="17" s="1"/>
  <c r="J406" i="17" s="1"/>
  <c r="K338" i="17"/>
  <c r="K372" i="17" s="1"/>
  <c r="K406" i="17" s="1"/>
  <c r="I393" i="16"/>
  <c r="N393" i="16"/>
  <c r="H338" i="17" s="1"/>
  <c r="H372" i="17" s="1"/>
  <c r="I338" i="17"/>
  <c r="I372" i="17" s="1"/>
  <c r="I406" i="17" s="1"/>
  <c r="H406" i="17"/>
  <c r="M390" i="16"/>
  <c r="O390" i="16"/>
  <c r="J337" i="17" s="1"/>
  <c r="I390" i="16"/>
  <c r="N390" i="16"/>
  <c r="H337" i="17" s="1"/>
  <c r="H371" i="17" s="1"/>
  <c r="I337" i="17"/>
  <c r="I371" i="17" s="1"/>
  <c r="I405" i="17" s="1"/>
  <c r="H405" i="17"/>
  <c r="M387" i="16"/>
  <c r="O387" i="16"/>
  <c r="J336" i="17" s="1"/>
  <c r="I387" i="16"/>
  <c r="N387" i="16"/>
  <c r="H336" i="17" s="1"/>
  <c r="M384" i="16"/>
  <c r="O384" i="16"/>
  <c r="J335" i="17" s="1"/>
  <c r="I384" i="16"/>
  <c r="N384" i="16" s="1"/>
  <c r="H335" i="17" s="1"/>
  <c r="H369" i="17" s="1"/>
  <c r="H403" i="17" s="1"/>
  <c r="I335" i="17"/>
  <c r="I369" i="17" s="1"/>
  <c r="I403" i="17" s="1"/>
  <c r="M381" i="16"/>
  <c r="O381" i="16"/>
  <c r="J334" i="17" s="1"/>
  <c r="I381" i="16"/>
  <c r="N381" i="16" s="1"/>
  <c r="H334" i="17" s="1"/>
  <c r="M378" i="16"/>
  <c r="O378" i="16"/>
  <c r="J333" i="17" s="1"/>
  <c r="J367" i="17" s="1"/>
  <c r="J401" i="17"/>
  <c r="I378" i="16"/>
  <c r="N378" i="16"/>
  <c r="H333" i="17" s="1"/>
  <c r="M375" i="16"/>
  <c r="O375" i="16"/>
  <c r="J332" i="17" s="1"/>
  <c r="J366" i="17" s="1"/>
  <c r="J400" i="17"/>
  <c r="I375" i="16"/>
  <c r="N375" i="16"/>
  <c r="H332" i="17" s="1"/>
  <c r="M372" i="16"/>
  <c r="O372" i="16"/>
  <c r="J331" i="17" s="1"/>
  <c r="J365" i="17" s="1"/>
  <c r="J399" i="17"/>
  <c r="I372" i="16"/>
  <c r="N372" i="16"/>
  <c r="H331" i="17" s="1"/>
  <c r="M369" i="16"/>
  <c r="O369" i="16"/>
  <c r="J330" i="17" s="1"/>
  <c r="I369" i="16"/>
  <c r="N369" i="16"/>
  <c r="H330" i="17" s="1"/>
  <c r="M366" i="16"/>
  <c r="O366" i="16"/>
  <c r="J329" i="17" s="1"/>
  <c r="I366" i="16"/>
  <c r="N366" i="16"/>
  <c r="H329" i="17" s="1"/>
  <c r="M363" i="16"/>
  <c r="O363" i="16"/>
  <c r="J328" i="17" s="1"/>
  <c r="I363" i="16"/>
  <c r="N363" i="16"/>
  <c r="H328" i="17" s="1"/>
  <c r="M360" i="16"/>
  <c r="O360" i="16"/>
  <c r="J327" i="17" s="1"/>
  <c r="I360" i="16"/>
  <c r="N360" i="16"/>
  <c r="H327" i="17" s="1"/>
  <c r="M357" i="16"/>
  <c r="O357" i="16"/>
  <c r="J326" i="17" s="1"/>
  <c r="I357" i="16"/>
  <c r="N357" i="16"/>
  <c r="H326" i="17" s="1"/>
  <c r="M354" i="16"/>
  <c r="O354" i="16"/>
  <c r="J325" i="17" s="1"/>
  <c r="I354" i="16"/>
  <c r="N354" i="16"/>
  <c r="H325" i="17" s="1"/>
  <c r="M351" i="16"/>
  <c r="O351" i="16"/>
  <c r="J324" i="17" s="1"/>
  <c r="I351" i="16"/>
  <c r="N351" i="16"/>
  <c r="H324" i="17" s="1"/>
  <c r="M348" i="16"/>
  <c r="O348" i="16"/>
  <c r="J323" i="17" s="1"/>
  <c r="I348" i="16"/>
  <c r="N348" i="16"/>
  <c r="H323" i="17" s="1"/>
  <c r="M345" i="16"/>
  <c r="O345" i="16"/>
  <c r="J322" i="17" s="1"/>
  <c r="I345" i="16"/>
  <c r="N345" i="16"/>
  <c r="H322" i="17" s="1"/>
  <c r="M342" i="16"/>
  <c r="O342" i="16"/>
  <c r="J321" i="17" s="1"/>
  <c r="I342" i="16"/>
  <c r="N342" i="16"/>
  <c r="H321" i="17" s="1"/>
  <c r="I321" i="17" s="1"/>
  <c r="I355" i="17"/>
  <c r="I389" i="17" s="1"/>
  <c r="M339" i="16"/>
  <c r="O339" i="16" s="1"/>
  <c r="J320" i="17"/>
  <c r="K320" i="17" s="1"/>
  <c r="K354" i="17"/>
  <c r="K388" i="17" s="1"/>
  <c r="I339" i="16"/>
  <c r="N339" i="16" s="1"/>
  <c r="H320" i="17"/>
  <c r="I320" i="17" s="1"/>
  <c r="I354" i="17"/>
  <c r="I388" i="17" s="1"/>
  <c r="M326" i="16"/>
  <c r="O326" i="16" s="1"/>
  <c r="J246" i="17"/>
  <c r="K246" i="17" s="1"/>
  <c r="K281" i="17"/>
  <c r="K316" i="17" s="1"/>
  <c r="I326" i="16"/>
  <c r="N326" i="16" s="1"/>
  <c r="H246" i="17"/>
  <c r="I246" i="17" s="1"/>
  <c r="I281" i="17"/>
  <c r="I316" i="17" s="1"/>
  <c r="M323" i="16"/>
  <c r="O323" i="16" s="1"/>
  <c r="J245" i="17"/>
  <c r="K245" i="17" s="1"/>
  <c r="K280" i="17"/>
  <c r="K315" i="17" s="1"/>
  <c r="I323" i="16"/>
  <c r="N323" i="16" s="1"/>
  <c r="H245" i="17"/>
  <c r="I245" i="17" s="1"/>
  <c r="I280" i="17"/>
  <c r="I315" i="17" s="1"/>
  <c r="M320" i="16"/>
  <c r="O320" i="16" s="1"/>
  <c r="J244" i="17"/>
  <c r="K244" i="17" s="1"/>
  <c r="K279" i="17"/>
  <c r="K314" i="17" s="1"/>
  <c r="I320" i="16"/>
  <c r="N320" i="16" s="1"/>
  <c r="H244" i="17"/>
  <c r="I244" i="17" s="1"/>
  <c r="I279" i="17"/>
  <c r="I314" i="17" s="1"/>
  <c r="M317" i="16"/>
  <c r="O317" i="16" s="1"/>
  <c r="J243" i="17"/>
  <c r="K243" i="17" s="1"/>
  <c r="K278" i="17"/>
  <c r="K313" i="17" s="1"/>
  <c r="I317" i="16"/>
  <c r="N317" i="16"/>
  <c r="H243" i="17"/>
  <c r="I243" i="17" s="1"/>
  <c r="I278" i="17" s="1"/>
  <c r="I313" i="17" s="1"/>
  <c r="M314" i="16"/>
  <c r="O314" i="16" s="1"/>
  <c r="J242" i="17" s="1"/>
  <c r="I314" i="16"/>
  <c r="N314" i="16"/>
  <c r="H242" i="17" s="1"/>
  <c r="M311" i="16"/>
  <c r="O311" i="16" s="1"/>
  <c r="J241" i="17" s="1"/>
  <c r="I311" i="16"/>
  <c r="N311" i="16"/>
  <c r="H241" i="17"/>
  <c r="I241" i="17" s="1"/>
  <c r="I276" i="17" s="1"/>
  <c r="I311" i="17" s="1"/>
  <c r="M308" i="16"/>
  <c r="O308" i="16" s="1"/>
  <c r="J240" i="17" s="1"/>
  <c r="I308" i="16"/>
  <c r="N308" i="16"/>
  <c r="H240" i="17"/>
  <c r="I240" i="17" s="1"/>
  <c r="I275" i="17" s="1"/>
  <c r="I310" i="17" s="1"/>
  <c r="H275" i="17"/>
  <c r="H310" i="17" s="1"/>
  <c r="M305" i="16"/>
  <c r="O305" i="16" s="1"/>
  <c r="J239" i="17" s="1"/>
  <c r="I305" i="16"/>
  <c r="N305" i="16"/>
  <c r="H239" i="17" s="1"/>
  <c r="M302" i="16"/>
  <c r="O302" i="16" s="1"/>
  <c r="J238" i="17" s="1"/>
  <c r="I302" i="16"/>
  <c r="N302" i="16"/>
  <c r="H238" i="17" s="1"/>
  <c r="M299" i="16"/>
  <c r="O299" i="16" s="1"/>
  <c r="J237" i="17" s="1"/>
  <c r="I299" i="16"/>
  <c r="N299" i="16"/>
  <c r="H237" i="17"/>
  <c r="I237" i="17" s="1"/>
  <c r="I272" i="17" s="1"/>
  <c r="I307" i="17" s="1"/>
  <c r="M296" i="16"/>
  <c r="O296" i="16"/>
  <c r="J236" i="17" s="1"/>
  <c r="I296" i="16"/>
  <c r="N296" i="16"/>
  <c r="H236" i="17" s="1"/>
  <c r="M293" i="16"/>
  <c r="O293" i="16"/>
  <c r="J235" i="17"/>
  <c r="K235" i="17" s="1"/>
  <c r="K270" i="17" s="1"/>
  <c r="K305" i="17" s="1"/>
  <c r="I293" i="16"/>
  <c r="N293" i="16" s="1"/>
  <c r="H235" i="17" s="1"/>
  <c r="M290" i="16"/>
  <c r="O290" i="16"/>
  <c r="J234" i="17"/>
  <c r="K234" i="17" s="1"/>
  <c r="K269" i="17" s="1"/>
  <c r="K304" i="17" s="1"/>
  <c r="I290" i="16"/>
  <c r="N290" i="16" s="1"/>
  <c r="H234" i="17" s="1"/>
  <c r="M287" i="16"/>
  <c r="O287" i="16"/>
  <c r="J233" i="17"/>
  <c r="K233" i="17" s="1"/>
  <c r="K268" i="17" s="1"/>
  <c r="K303" i="17" s="1"/>
  <c r="I287" i="16"/>
  <c r="N287" i="16" s="1"/>
  <c r="H233" i="17" s="1"/>
  <c r="M284" i="16"/>
  <c r="O284" i="16"/>
  <c r="J232" i="17"/>
  <c r="K232" i="17" s="1"/>
  <c r="K267" i="17" s="1"/>
  <c r="K302" i="17" s="1"/>
  <c r="I284" i="16"/>
  <c r="N284" i="16" s="1"/>
  <c r="H232" i="17" s="1"/>
  <c r="M281" i="16"/>
  <c r="O281" i="16"/>
  <c r="J231" i="17"/>
  <c r="K231" i="17" s="1"/>
  <c r="K266" i="17" s="1"/>
  <c r="K301" i="17" s="1"/>
  <c r="I281" i="16"/>
  <c r="N281" i="16" s="1"/>
  <c r="H231" i="17" s="1"/>
  <c r="M278" i="16"/>
  <c r="O278" i="16"/>
  <c r="J230" i="17"/>
  <c r="K230" i="17" s="1"/>
  <c r="K265" i="17" s="1"/>
  <c r="K300" i="17" s="1"/>
  <c r="I278" i="16"/>
  <c r="N278" i="16" s="1"/>
  <c r="H230" i="17" s="1"/>
  <c r="M275" i="16"/>
  <c r="O275" i="16"/>
  <c r="J229" i="17"/>
  <c r="K229" i="17" s="1"/>
  <c r="K264" i="17" s="1"/>
  <c r="K299" i="17" s="1"/>
  <c r="I275" i="16"/>
  <c r="N275" i="16" s="1"/>
  <c r="H229" i="17" s="1"/>
  <c r="M272" i="16"/>
  <c r="O272" i="16"/>
  <c r="J228" i="17"/>
  <c r="K228" i="17" s="1"/>
  <c r="K263" i="17" s="1"/>
  <c r="K298" i="17" s="1"/>
  <c r="I272" i="16"/>
  <c r="N272" i="16" s="1"/>
  <c r="H228" i="17" s="1"/>
  <c r="M269" i="16"/>
  <c r="O269" i="16"/>
  <c r="J227" i="17"/>
  <c r="K227" i="17" s="1"/>
  <c r="K262" i="17" s="1"/>
  <c r="K297" i="17" s="1"/>
  <c r="I269" i="16"/>
  <c r="N269" i="16" s="1"/>
  <c r="H227" i="17" s="1"/>
  <c r="M266" i="16"/>
  <c r="O266" i="16"/>
  <c r="J226" i="17"/>
  <c r="K226" i="17" s="1"/>
  <c r="K261" i="17" s="1"/>
  <c r="K296" i="17" s="1"/>
  <c r="I266" i="16"/>
  <c r="N266" i="16" s="1"/>
  <c r="H226" i="17" s="1"/>
  <c r="M263" i="16"/>
  <c r="O263" i="16"/>
  <c r="J225" i="17"/>
  <c r="K225" i="17" s="1"/>
  <c r="K260" i="17" s="1"/>
  <c r="K295" i="17" s="1"/>
  <c r="I263" i="16"/>
  <c r="N263" i="16" s="1"/>
  <c r="H225" i="17" s="1"/>
  <c r="M260" i="16"/>
  <c r="O260" i="16"/>
  <c r="J224" i="17"/>
  <c r="K224" i="17" s="1"/>
  <c r="K259" i="17" s="1"/>
  <c r="K294" i="17" s="1"/>
  <c r="I260" i="16"/>
  <c r="N260" i="16" s="1"/>
  <c r="H224" i="17" s="1"/>
  <c r="M257" i="16"/>
  <c r="O257" i="16"/>
  <c r="J223" i="17"/>
  <c r="K223" i="17" s="1"/>
  <c r="K258" i="17" s="1"/>
  <c r="K293" i="17" s="1"/>
  <c r="I257" i="16"/>
  <c r="N257" i="16" s="1"/>
  <c r="H223" i="17" s="1"/>
  <c r="M254" i="16"/>
  <c r="O254" i="16"/>
  <c r="J222" i="17"/>
  <c r="K222" i="17" s="1"/>
  <c r="K257" i="17" s="1"/>
  <c r="K292" i="17" s="1"/>
  <c r="I254" i="16"/>
  <c r="N254" i="16" s="1"/>
  <c r="H222" i="17" s="1"/>
  <c r="M251" i="16"/>
  <c r="O251" i="16"/>
  <c r="J221" i="17"/>
  <c r="K221" i="17" s="1"/>
  <c r="K256" i="17" s="1"/>
  <c r="K291" i="17" s="1"/>
  <c r="I251" i="16"/>
  <c r="N251" i="16" s="1"/>
  <c r="H221" i="17" s="1"/>
  <c r="M248" i="16"/>
  <c r="O248" i="16"/>
  <c r="J220" i="17"/>
  <c r="K220" i="17" s="1"/>
  <c r="K255" i="17" s="1"/>
  <c r="K290" i="17" s="1"/>
  <c r="I248" i="16"/>
  <c r="N248" i="16" s="1"/>
  <c r="H220" i="17" s="1"/>
  <c r="M245" i="16"/>
  <c r="O245" i="16"/>
  <c r="J219" i="17"/>
  <c r="K219" i="17" s="1"/>
  <c r="K254" i="17" s="1"/>
  <c r="K289" i="17" s="1"/>
  <c r="I245" i="16"/>
  <c r="N245" i="16" s="1"/>
  <c r="H219" i="17" s="1"/>
  <c r="M242" i="16"/>
  <c r="O242" i="16"/>
  <c r="J218" i="17"/>
  <c r="K218" i="17" s="1"/>
  <c r="K253" i="17" s="1"/>
  <c r="K288" i="17" s="1"/>
  <c r="I242" i="16"/>
  <c r="N242" i="16" s="1"/>
  <c r="H218" i="17" s="1"/>
  <c r="M239" i="16"/>
  <c r="O239" i="16"/>
  <c r="J217" i="17"/>
  <c r="K217" i="17" s="1"/>
  <c r="K252" i="17" s="1"/>
  <c r="K287" i="17" s="1"/>
  <c r="I239" i="16"/>
  <c r="N239" i="16" s="1"/>
  <c r="H217" i="17" s="1"/>
  <c r="M236" i="16"/>
  <c r="O236" i="16"/>
  <c r="J216" i="17"/>
  <c r="K216" i="17" s="1"/>
  <c r="K251" i="17" s="1"/>
  <c r="K286" i="17" s="1"/>
  <c r="I236" i="16"/>
  <c r="N236" i="16" s="1"/>
  <c r="H216" i="17" s="1"/>
  <c r="M233" i="16"/>
  <c r="O233" i="16"/>
  <c r="J215" i="17"/>
  <c r="K215" i="17" s="1"/>
  <c r="K250" i="17" s="1"/>
  <c r="K285" i="17" s="1"/>
  <c r="I233" i="16"/>
  <c r="N233" i="16" s="1"/>
  <c r="H215" i="17" s="1"/>
  <c r="M230" i="16"/>
  <c r="O230" i="16"/>
  <c r="J214" i="17"/>
  <c r="K214" i="17" s="1"/>
  <c r="K249" i="17" s="1"/>
  <c r="K284" i="17" s="1"/>
  <c r="I230" i="16"/>
  <c r="N230" i="16" s="1"/>
  <c r="H214" i="17" s="1"/>
  <c r="M227" i="16"/>
  <c r="O227" i="16"/>
  <c r="J213" i="17"/>
  <c r="K213" i="17" s="1"/>
  <c r="K248" i="17" s="1"/>
  <c r="K283" i="17" s="1"/>
  <c r="I227" i="16"/>
  <c r="N227" i="16" s="1"/>
  <c r="H213" i="17" s="1"/>
  <c r="M224" i="16"/>
  <c r="O224" i="16"/>
  <c r="J212" i="17"/>
  <c r="K212" i="17" s="1"/>
  <c r="K247" i="17" s="1"/>
  <c r="K282" i="17" s="1"/>
  <c r="I224" i="16"/>
  <c r="N224" i="16" s="1"/>
  <c r="H212" i="17" s="1"/>
  <c r="M220" i="16"/>
  <c r="O220" i="16"/>
  <c r="J141" i="17"/>
  <c r="J176" i="17" s="1"/>
  <c r="K176" i="17" s="1"/>
  <c r="K211" i="17" s="1"/>
  <c r="I220" i="16"/>
  <c r="N220" i="16"/>
  <c r="H141" i="17"/>
  <c r="H176" i="17" s="1"/>
  <c r="H211" i="17" s="1"/>
  <c r="I141" i="17"/>
  <c r="I176" i="17" s="1"/>
  <c r="I211" i="17"/>
  <c r="M217" i="16"/>
  <c r="O217" i="16"/>
  <c r="J140" i="17" s="1"/>
  <c r="I217" i="16"/>
  <c r="N217" i="16" s="1"/>
  <c r="H140" i="17"/>
  <c r="H175" i="17" s="1"/>
  <c r="H210" i="17" s="1"/>
  <c r="I140" i="17"/>
  <c r="I175" i="17"/>
  <c r="I210" i="17" s="1"/>
  <c r="M214" i="16"/>
  <c r="O214" i="16" s="1"/>
  <c r="J139" i="17"/>
  <c r="J174" i="17" s="1"/>
  <c r="I214" i="16"/>
  <c r="N214" i="16" s="1"/>
  <c r="H139" i="17" s="1"/>
  <c r="M211" i="16"/>
  <c r="O211" i="16"/>
  <c r="J138" i="17" s="1"/>
  <c r="J173" i="17"/>
  <c r="J208" i="17" s="1"/>
  <c r="I211" i="16"/>
  <c r="N211" i="16"/>
  <c r="H138" i="17" s="1"/>
  <c r="M208" i="16"/>
  <c r="O208" i="16"/>
  <c r="J137" i="17"/>
  <c r="J172" i="17" s="1"/>
  <c r="J207" i="17" s="1"/>
  <c r="K172" i="17"/>
  <c r="K207" i="17" s="1"/>
  <c r="I208" i="16"/>
  <c r="N208" i="16"/>
  <c r="H137" i="17" s="1"/>
  <c r="M205" i="16"/>
  <c r="O205" i="16"/>
  <c r="J136" i="17"/>
  <c r="J171" i="17" s="1"/>
  <c r="I205" i="16"/>
  <c r="N205" i="16" s="1"/>
  <c r="H136" i="17" s="1"/>
  <c r="M202" i="16"/>
  <c r="O202" i="16" s="1"/>
  <c r="J135" i="17" s="1"/>
  <c r="J170" i="17" s="1"/>
  <c r="I202" i="16"/>
  <c r="N202" i="16"/>
  <c r="H135" i="17" s="1"/>
  <c r="M199" i="16"/>
  <c r="O199" i="16"/>
  <c r="J134" i="17" s="1"/>
  <c r="I199" i="16"/>
  <c r="N199" i="16"/>
  <c r="H134" i="17"/>
  <c r="I134" i="17" s="1"/>
  <c r="I169" i="17" s="1"/>
  <c r="I204" i="17" s="1"/>
  <c r="H169" i="17"/>
  <c r="H204" i="17" s="1"/>
  <c r="M196" i="16"/>
  <c r="O196" i="16"/>
  <c r="J133" i="17"/>
  <c r="J168" i="17" s="1"/>
  <c r="I196" i="16"/>
  <c r="N196" i="16"/>
  <c r="H133" i="17"/>
  <c r="I133" i="17"/>
  <c r="I168" i="17" s="1"/>
  <c r="I203" i="17" s="1"/>
  <c r="H168" i="17"/>
  <c r="H203" i="17"/>
  <c r="M193" i="16"/>
  <c r="O193" i="16"/>
  <c r="J132" i="17"/>
  <c r="J167" i="17"/>
  <c r="K167" i="17" s="1"/>
  <c r="K202" i="17" s="1"/>
  <c r="I193" i="16"/>
  <c r="N193" i="16" s="1"/>
  <c r="H132" i="17" s="1"/>
  <c r="M190" i="16"/>
  <c r="O190" i="16" s="1"/>
  <c r="J131" i="17" s="1"/>
  <c r="I190" i="16"/>
  <c r="N190" i="16"/>
  <c r="H131" i="17" s="1"/>
  <c r="M187" i="16"/>
  <c r="O187" i="16"/>
  <c r="J130" i="17" s="1"/>
  <c r="J165" i="17" s="1"/>
  <c r="I187" i="16"/>
  <c r="N187" i="16"/>
  <c r="H130" i="17"/>
  <c r="I130" i="17" s="1"/>
  <c r="I165" i="17" s="1"/>
  <c r="I200" i="17" s="1"/>
  <c r="H165" i="17"/>
  <c r="H200" i="17" s="1"/>
  <c r="M184" i="16"/>
  <c r="O184" i="16"/>
  <c r="J129" i="17"/>
  <c r="J164" i="17" s="1"/>
  <c r="I184" i="16"/>
  <c r="N184" i="16"/>
  <c r="H129" i="17"/>
  <c r="I129" i="17"/>
  <c r="I164" i="17" s="1"/>
  <c r="I199" i="17" s="1"/>
  <c r="H164" i="17"/>
  <c r="H199" i="17"/>
  <c r="M181" i="16"/>
  <c r="O181" i="16"/>
  <c r="J128" i="17"/>
  <c r="J163" i="17"/>
  <c r="K163" i="17" s="1"/>
  <c r="K198" i="17" s="1"/>
  <c r="I181" i="16"/>
  <c r="N181" i="16" s="1"/>
  <c r="H128" i="17" s="1"/>
  <c r="M178" i="16"/>
  <c r="O178" i="16" s="1"/>
  <c r="J127" i="17" s="1"/>
  <c r="I178" i="16"/>
  <c r="N178" i="16"/>
  <c r="H127" i="17" s="1"/>
  <c r="M175" i="16"/>
  <c r="O175" i="16"/>
  <c r="J126" i="17" s="1"/>
  <c r="J161" i="17" s="1"/>
  <c r="I175" i="16"/>
  <c r="N175" i="16"/>
  <c r="H126" i="17"/>
  <c r="I126" i="17" s="1"/>
  <c r="I161" i="17" s="1"/>
  <c r="I196" i="17" s="1"/>
  <c r="H161" i="17"/>
  <c r="H196" i="17" s="1"/>
  <c r="M172" i="16"/>
  <c r="O172" i="16"/>
  <c r="J125" i="17"/>
  <c r="J160" i="17" s="1"/>
  <c r="I172" i="16"/>
  <c r="N172" i="16"/>
  <c r="H125" i="17"/>
  <c r="I125" i="17"/>
  <c r="I160" i="17" s="1"/>
  <c r="I195" i="17" s="1"/>
  <c r="H160" i="17"/>
  <c r="H195" i="17"/>
  <c r="M169" i="16"/>
  <c r="O169" i="16"/>
  <c r="J124" i="17"/>
  <c r="J159" i="17"/>
  <c r="K159" i="17" s="1"/>
  <c r="K194" i="17" s="1"/>
  <c r="I169" i="16"/>
  <c r="N169" i="16" s="1"/>
  <c r="H124" i="17" s="1"/>
  <c r="M166" i="16"/>
  <c r="O166" i="16" s="1"/>
  <c r="J123" i="17" s="1"/>
  <c r="I166" i="16"/>
  <c r="N166" i="16"/>
  <c r="H123" i="17" s="1"/>
  <c r="M163" i="16"/>
  <c r="O163" i="16"/>
  <c r="J122" i="17" s="1"/>
  <c r="J157" i="17" s="1"/>
  <c r="I163" i="16"/>
  <c r="N163" i="16"/>
  <c r="H122" i="17"/>
  <c r="I122" i="17" s="1"/>
  <c r="I157" i="17" s="1"/>
  <c r="I192" i="17" s="1"/>
  <c r="H157" i="17"/>
  <c r="H192" i="17" s="1"/>
  <c r="M160" i="16"/>
  <c r="O160" i="16"/>
  <c r="J121" i="17"/>
  <c r="J156" i="17" s="1"/>
  <c r="I160" i="16"/>
  <c r="N160" i="16"/>
  <c r="H121" i="17"/>
  <c r="I121" i="17"/>
  <c r="I156" i="17" s="1"/>
  <c r="I191" i="17" s="1"/>
  <c r="H156" i="17"/>
  <c r="H191" i="17"/>
  <c r="M157" i="16"/>
  <c r="O157" i="16"/>
  <c r="J120" i="17"/>
  <c r="J155" i="17"/>
  <c r="K155" i="17" s="1"/>
  <c r="K190" i="17" s="1"/>
  <c r="I157" i="16"/>
  <c r="N157" i="16" s="1"/>
  <c r="H120" i="17" s="1"/>
  <c r="M154" i="16"/>
  <c r="O154" i="16" s="1"/>
  <c r="J119" i="17" s="1"/>
  <c r="I154" i="16"/>
  <c r="N154" i="16"/>
  <c r="H119" i="17" s="1"/>
  <c r="M151" i="16"/>
  <c r="O151" i="16" s="1"/>
  <c r="J118" i="17" s="1"/>
  <c r="J153" i="17" s="1"/>
  <c r="M152" i="16"/>
  <c r="M153" i="16"/>
  <c r="U32" i="16"/>
  <c r="I151" i="16"/>
  <c r="I152" i="16"/>
  <c r="I153" i="16"/>
  <c r="N151" i="16"/>
  <c r="H118" i="17" s="1"/>
  <c r="R38" i="16"/>
  <c r="M148" i="16"/>
  <c r="O148" i="16" s="1"/>
  <c r="J117" i="17" s="1"/>
  <c r="J152" i="17" s="1"/>
  <c r="M149" i="16"/>
  <c r="M150" i="16"/>
  <c r="U33" i="16"/>
  <c r="I148" i="16"/>
  <c r="N148" i="16" s="1"/>
  <c r="H117" i="17" s="1"/>
  <c r="I149" i="16"/>
  <c r="I150" i="16"/>
  <c r="M145" i="16"/>
  <c r="O145" i="16" s="1"/>
  <c r="J116" i="17" s="1"/>
  <c r="J151" i="17" s="1"/>
  <c r="M146" i="16"/>
  <c r="M147" i="16"/>
  <c r="U60" i="16"/>
  <c r="I145" i="16"/>
  <c r="N145" i="16" s="1"/>
  <c r="H116" i="17" s="1"/>
  <c r="I146" i="16"/>
  <c r="I147" i="16"/>
  <c r="M142" i="16"/>
  <c r="O142" i="16" s="1"/>
  <c r="J115" i="17" s="1"/>
  <c r="J150" i="17" s="1"/>
  <c r="M143" i="16"/>
  <c r="M144" i="16"/>
  <c r="I142" i="16"/>
  <c r="I143" i="16"/>
  <c r="I144" i="16"/>
  <c r="N142" i="16"/>
  <c r="H115" i="17" s="1"/>
  <c r="R16" i="16"/>
  <c r="M139" i="16"/>
  <c r="O139" i="16" s="1"/>
  <c r="J114" i="17" s="1"/>
  <c r="J149" i="17" s="1"/>
  <c r="M140" i="16"/>
  <c r="M141" i="16"/>
  <c r="I139" i="16"/>
  <c r="I140" i="16"/>
  <c r="I141" i="16"/>
  <c r="N139" i="16"/>
  <c r="H114" i="17" s="1"/>
  <c r="R33" i="16"/>
  <c r="M136" i="16"/>
  <c r="O136" i="16" s="1"/>
  <c r="J113" i="17" s="1"/>
  <c r="J148" i="17" s="1"/>
  <c r="M137" i="16"/>
  <c r="M138" i="16"/>
  <c r="I136" i="16"/>
  <c r="I137" i="16"/>
  <c r="I138" i="16"/>
  <c r="N136" i="16"/>
  <c r="H113" i="17" s="1"/>
  <c r="M133" i="16"/>
  <c r="M134" i="16"/>
  <c r="M135" i="16"/>
  <c r="O133" i="16"/>
  <c r="J112" i="17" s="1"/>
  <c r="J147" i="17" s="1"/>
  <c r="U31" i="16"/>
  <c r="I133" i="16"/>
  <c r="I134" i="16"/>
  <c r="I135" i="16"/>
  <c r="N133" i="16"/>
  <c r="H112" i="17" s="1"/>
  <c r="M130" i="16"/>
  <c r="M131" i="16"/>
  <c r="M132" i="16"/>
  <c r="O130" i="16"/>
  <c r="J111" i="17" s="1"/>
  <c r="J146" i="17" s="1"/>
  <c r="I130" i="16"/>
  <c r="N130" i="16" s="1"/>
  <c r="H111" i="17" s="1"/>
  <c r="I131" i="16"/>
  <c r="I132" i="16"/>
  <c r="R42" i="16"/>
  <c r="M127" i="16"/>
  <c r="M128" i="16"/>
  <c r="M129" i="16"/>
  <c r="O127" i="16"/>
  <c r="J110" i="17" s="1"/>
  <c r="J145" i="17" s="1"/>
  <c r="I127" i="16"/>
  <c r="N127" i="16" s="1"/>
  <c r="H110" i="17" s="1"/>
  <c r="I128" i="16"/>
  <c r="I129" i="16"/>
  <c r="M124" i="16"/>
  <c r="O124" i="16" s="1"/>
  <c r="J109" i="17" s="1"/>
  <c r="J144" i="17" s="1"/>
  <c r="M125" i="16"/>
  <c r="M126" i="16"/>
  <c r="I124" i="16"/>
  <c r="I125" i="16"/>
  <c r="I126" i="16"/>
  <c r="N124" i="16"/>
  <c r="H109" i="17" s="1"/>
  <c r="M121" i="16"/>
  <c r="M122" i="16"/>
  <c r="M123" i="16"/>
  <c r="O121" i="16"/>
  <c r="J108" i="17" s="1"/>
  <c r="J143" i="17" s="1"/>
  <c r="I121" i="16"/>
  <c r="N121" i="16" s="1"/>
  <c r="H108" i="17" s="1"/>
  <c r="I122" i="16"/>
  <c r="I123" i="16"/>
  <c r="M118" i="16"/>
  <c r="O118" i="16" s="1"/>
  <c r="J107" i="17" s="1"/>
  <c r="J142" i="17" s="1"/>
  <c r="M119" i="16"/>
  <c r="M120" i="16"/>
  <c r="U57" i="16"/>
  <c r="I118" i="16"/>
  <c r="N118" i="16" s="1"/>
  <c r="I119" i="16"/>
  <c r="I120" i="16"/>
  <c r="H107" i="17"/>
  <c r="K135" i="17"/>
  <c r="K136" i="17"/>
  <c r="K137" i="17"/>
  <c r="K138" i="17"/>
  <c r="K139" i="17"/>
  <c r="K141" i="17"/>
  <c r="K132" i="17"/>
  <c r="K133" i="17"/>
  <c r="K120" i="17"/>
  <c r="K121" i="17"/>
  <c r="K122" i="17"/>
  <c r="K124" i="17"/>
  <c r="K125" i="17"/>
  <c r="K128" i="17"/>
  <c r="K129" i="17"/>
  <c r="K130" i="17"/>
  <c r="I15" i="16"/>
  <c r="I16" i="16"/>
  <c r="I17" i="16"/>
  <c r="N15" i="16"/>
  <c r="M15" i="16"/>
  <c r="M16" i="16"/>
  <c r="M17" i="16"/>
  <c r="O15" i="16"/>
  <c r="J3" i="17" s="1"/>
  <c r="J38" i="17"/>
  <c r="K38" i="17" s="1"/>
  <c r="U51" i="16"/>
  <c r="I18" i="16"/>
  <c r="I19" i="16"/>
  <c r="I20" i="16"/>
  <c r="N18" i="16"/>
  <c r="H4" i="17" s="1"/>
  <c r="I4" i="17" s="1"/>
  <c r="I39" i="17"/>
  <c r="M18" i="16"/>
  <c r="M19" i="16"/>
  <c r="M20" i="16"/>
  <c r="O18" i="16"/>
  <c r="J4" i="17" s="1"/>
  <c r="J39" i="17"/>
  <c r="U21" i="16"/>
  <c r="I21" i="16"/>
  <c r="I22" i="16"/>
  <c r="I23" i="16"/>
  <c r="N21" i="16"/>
  <c r="H5" i="17" s="1"/>
  <c r="I5" i="17" s="1"/>
  <c r="H40" i="17"/>
  <c r="I40" i="17"/>
  <c r="M21" i="16"/>
  <c r="M22" i="16"/>
  <c r="M23" i="16"/>
  <c r="O21" i="16"/>
  <c r="J5" i="17" s="1"/>
  <c r="U45" i="16"/>
  <c r="I24" i="16"/>
  <c r="I25" i="16"/>
  <c r="I26" i="16"/>
  <c r="N24" i="16"/>
  <c r="H6" i="17" s="1"/>
  <c r="I6" i="17" s="1"/>
  <c r="I41" i="17" s="1"/>
  <c r="I76" i="17" s="1"/>
  <c r="H41" i="17"/>
  <c r="H76" i="17" s="1"/>
  <c r="M24" i="16"/>
  <c r="M25" i="16"/>
  <c r="M26" i="16"/>
  <c r="O24" i="16"/>
  <c r="J6" i="17" s="1"/>
  <c r="J41" i="17" s="1"/>
  <c r="I27" i="16"/>
  <c r="N27" i="16" s="1"/>
  <c r="H7" i="17" s="1"/>
  <c r="I28" i="16"/>
  <c r="I29" i="16"/>
  <c r="M27" i="16"/>
  <c r="O27" i="16" s="1"/>
  <c r="J7" i="17" s="1"/>
  <c r="K7" i="17" s="1"/>
  <c r="M28" i="16"/>
  <c r="M29" i="16"/>
  <c r="J42" i="17"/>
  <c r="U22" i="16"/>
  <c r="I30" i="16"/>
  <c r="N30" i="16" s="1"/>
  <c r="I31" i="16"/>
  <c r="I32" i="16"/>
  <c r="H8" i="17"/>
  <c r="H43" i="17" s="1"/>
  <c r="H78" i="17" s="1"/>
  <c r="I8" i="17"/>
  <c r="I43" i="17"/>
  <c r="I78" i="17" s="1"/>
  <c r="M30" i="16"/>
  <c r="M31" i="16"/>
  <c r="M32" i="16"/>
  <c r="O30" i="16"/>
  <c r="J8" i="17" s="1"/>
  <c r="J43" i="17" s="1"/>
  <c r="I33" i="16"/>
  <c r="N33" i="16" s="1"/>
  <c r="H9" i="17" s="1"/>
  <c r="I34" i="16"/>
  <c r="I35" i="16"/>
  <c r="M33" i="16"/>
  <c r="O33" i="16" s="1"/>
  <c r="J9" i="17" s="1"/>
  <c r="M34" i="16"/>
  <c r="M35" i="16"/>
  <c r="I36" i="16"/>
  <c r="N36" i="16" s="1"/>
  <c r="H10" i="17" s="1"/>
  <c r="I10" i="17" s="1"/>
  <c r="I45" i="17" s="1"/>
  <c r="I80" i="17" s="1"/>
  <c r="I37" i="16"/>
  <c r="I38" i="16"/>
  <c r="M36" i="16"/>
  <c r="O36" i="16" s="1"/>
  <c r="J10" i="17" s="1"/>
  <c r="K10" i="17" s="1"/>
  <c r="M37" i="16"/>
  <c r="M38" i="16"/>
  <c r="I39" i="16"/>
  <c r="I40" i="16"/>
  <c r="I41" i="16"/>
  <c r="N39" i="16"/>
  <c r="H11" i="17" s="1"/>
  <c r="H46" i="17" s="1"/>
  <c r="H81" i="17" s="1"/>
  <c r="I11" i="17"/>
  <c r="I46" i="17" s="1"/>
  <c r="I81" i="17" s="1"/>
  <c r="M39" i="16"/>
  <c r="M40" i="16"/>
  <c r="M41" i="16"/>
  <c r="O39" i="16"/>
  <c r="J11" i="17" s="1"/>
  <c r="I42" i="16"/>
  <c r="I43" i="16"/>
  <c r="I44" i="16"/>
  <c r="N42" i="16"/>
  <c r="H12" i="17" s="1"/>
  <c r="M42" i="16"/>
  <c r="M43" i="16"/>
  <c r="M44" i="16"/>
  <c r="O42" i="16"/>
  <c r="J12" i="17" s="1"/>
  <c r="J47" i="17" s="1"/>
  <c r="I45" i="16"/>
  <c r="N45" i="16" s="1"/>
  <c r="H13" i="17" s="1"/>
  <c r="I46" i="16"/>
  <c r="I47" i="16"/>
  <c r="R14" i="16"/>
  <c r="M45" i="16"/>
  <c r="M46" i="16"/>
  <c r="M47" i="16"/>
  <c r="O45" i="16"/>
  <c r="J13" i="17" s="1"/>
  <c r="I48" i="16"/>
  <c r="N48" i="16" s="1"/>
  <c r="H14" i="17" s="1"/>
  <c r="H49" i="17" s="1"/>
  <c r="H84" i="17" s="1"/>
  <c r="I14" i="17"/>
  <c r="I49" i="17" s="1"/>
  <c r="M48" i="16"/>
  <c r="O48" i="16"/>
  <c r="J14" i="17"/>
  <c r="I51" i="16"/>
  <c r="N51" i="16"/>
  <c r="H15" i="17" s="1"/>
  <c r="M51" i="16"/>
  <c r="O51" i="16" s="1"/>
  <c r="J15" i="17" s="1"/>
  <c r="K15" i="17" s="1"/>
  <c r="J50" i="17"/>
  <c r="I54" i="16"/>
  <c r="N54" i="16"/>
  <c r="H16" i="17"/>
  <c r="M54" i="16"/>
  <c r="O54" i="16" s="1"/>
  <c r="J16" i="17" s="1"/>
  <c r="J51" i="17" s="1"/>
  <c r="J86" i="17" s="1"/>
  <c r="K86" i="17" s="1"/>
  <c r="K51" i="17"/>
  <c r="I57" i="16"/>
  <c r="N57" i="16" s="1"/>
  <c r="H17" i="17" s="1"/>
  <c r="M57" i="16"/>
  <c r="O57" i="16"/>
  <c r="J17" i="17" s="1"/>
  <c r="I60" i="16"/>
  <c r="N60" i="16" s="1"/>
  <c r="H18" i="17" s="1"/>
  <c r="M60" i="16"/>
  <c r="O60" i="16"/>
  <c r="J18" i="17"/>
  <c r="I63" i="16"/>
  <c r="N63" i="16"/>
  <c r="H19" i="17" s="1"/>
  <c r="M63" i="16"/>
  <c r="O63" i="16" s="1"/>
  <c r="J19" i="17" s="1"/>
  <c r="I66" i="16"/>
  <c r="N66" i="16"/>
  <c r="H20" i="17"/>
  <c r="M66" i="16"/>
  <c r="O66" i="16" s="1"/>
  <c r="J20" i="17" s="1"/>
  <c r="J55" i="17" s="1"/>
  <c r="J90" i="17" s="1"/>
  <c r="K90" i="17" s="1"/>
  <c r="K55" i="17"/>
  <c r="I69" i="16"/>
  <c r="N69" i="16" s="1"/>
  <c r="H21" i="17" s="1"/>
  <c r="I21" i="17" s="1"/>
  <c r="I56" i="17" s="1"/>
  <c r="M69" i="16"/>
  <c r="O69" i="16"/>
  <c r="J21" i="17" s="1"/>
  <c r="I72" i="16"/>
  <c r="N72" i="16" s="1"/>
  <c r="H22" i="17" s="1"/>
  <c r="H57" i="17" s="1"/>
  <c r="H92" i="17" s="1"/>
  <c r="M72" i="16"/>
  <c r="O72" i="16"/>
  <c r="J22" i="17"/>
  <c r="I75" i="16"/>
  <c r="N75" i="16"/>
  <c r="H23" i="17" s="1"/>
  <c r="M75" i="16"/>
  <c r="O75" i="16" s="1"/>
  <c r="J23" i="17" s="1"/>
  <c r="K23" i="17" s="1"/>
  <c r="I78" i="16"/>
  <c r="N78" i="16"/>
  <c r="H24" i="17"/>
  <c r="M78" i="16"/>
  <c r="O78" i="16" s="1"/>
  <c r="J24" i="17" s="1"/>
  <c r="J59" i="17" s="1"/>
  <c r="I81" i="16"/>
  <c r="N81" i="16" s="1"/>
  <c r="H25" i="17" s="1"/>
  <c r="I25" i="17" s="1"/>
  <c r="I60" i="17" s="1"/>
  <c r="H60" i="17"/>
  <c r="H95" i="17" s="1"/>
  <c r="M81" i="16"/>
  <c r="O81" i="16"/>
  <c r="J25" i="17" s="1"/>
  <c r="I84" i="16"/>
  <c r="N84" i="16" s="1"/>
  <c r="H26" i="17" s="1"/>
  <c r="H61" i="17" s="1"/>
  <c r="H96" i="17" s="1"/>
  <c r="I26" i="17"/>
  <c r="I61" i="17" s="1"/>
  <c r="I96" i="17" s="1"/>
  <c r="M84" i="16"/>
  <c r="O84" i="16"/>
  <c r="J26" i="17"/>
  <c r="I87" i="16"/>
  <c r="N87" i="16"/>
  <c r="H27" i="17" s="1"/>
  <c r="M87" i="16"/>
  <c r="O87" i="16" s="1"/>
  <c r="J27" i="17" s="1"/>
  <c r="K27" i="17" s="1"/>
  <c r="J62" i="17"/>
  <c r="I90" i="16"/>
  <c r="N90" i="16"/>
  <c r="H28" i="17"/>
  <c r="M90" i="16"/>
  <c r="O90" i="16" s="1"/>
  <c r="J28" i="17" s="1"/>
  <c r="I93" i="16"/>
  <c r="N93" i="16" s="1"/>
  <c r="H29" i="17" s="1"/>
  <c r="I29" i="17" s="1"/>
  <c r="I64" i="17" s="1"/>
  <c r="H64" i="17"/>
  <c r="H99" i="17" s="1"/>
  <c r="M93" i="16"/>
  <c r="O93" i="16"/>
  <c r="J29" i="17" s="1"/>
  <c r="I96" i="16"/>
  <c r="N96" i="16" s="1"/>
  <c r="H30" i="17" s="1"/>
  <c r="H65" i="17" s="1"/>
  <c r="H100" i="17" s="1"/>
  <c r="I30" i="17"/>
  <c r="I65" i="17" s="1"/>
  <c r="M96" i="16"/>
  <c r="O96" i="16"/>
  <c r="J30" i="17"/>
  <c r="I99" i="16"/>
  <c r="N99" i="16"/>
  <c r="H31" i="17" s="1"/>
  <c r="M99" i="16"/>
  <c r="O99" i="16" s="1"/>
  <c r="J31" i="17" s="1"/>
  <c r="K31" i="17" s="1"/>
  <c r="J66" i="17"/>
  <c r="I102" i="16"/>
  <c r="N102" i="16"/>
  <c r="H32" i="17"/>
  <c r="M102" i="16"/>
  <c r="O102" i="16" s="1"/>
  <c r="J32" i="17" s="1"/>
  <c r="J67" i="17" s="1"/>
  <c r="J102" i="17" s="1"/>
  <c r="K102" i="17" s="1"/>
  <c r="K67" i="17"/>
  <c r="I105" i="16"/>
  <c r="N105" i="16" s="1"/>
  <c r="H33" i="17" s="1"/>
  <c r="M105" i="16"/>
  <c r="O105" i="16"/>
  <c r="J33" i="17" s="1"/>
  <c r="I108" i="16"/>
  <c r="N108" i="16" s="1"/>
  <c r="H34" i="17" s="1"/>
  <c r="M108" i="16"/>
  <c r="O108" i="16"/>
  <c r="J34" i="17"/>
  <c r="I111" i="16"/>
  <c r="N111" i="16"/>
  <c r="H35" i="17" s="1"/>
  <c r="M111" i="16"/>
  <c r="O111" i="16" s="1"/>
  <c r="J35" i="17" s="1"/>
  <c r="I114" i="16"/>
  <c r="N114" i="16"/>
  <c r="H36" i="17"/>
  <c r="M114" i="16"/>
  <c r="O114" i="16" s="1"/>
  <c r="J36" i="17" s="1"/>
  <c r="J71" i="17" s="1"/>
  <c r="J106" i="17" s="1"/>
  <c r="K106" i="17" s="1"/>
  <c r="K71" i="17"/>
  <c r="I12" i="16"/>
  <c r="I13" i="16"/>
  <c r="I14" i="16"/>
  <c r="N12" i="16"/>
  <c r="M12" i="16"/>
  <c r="O12" i="16" s="1"/>
  <c r="J2" i="17" s="1"/>
  <c r="K2" i="17" s="1"/>
  <c r="M13" i="16"/>
  <c r="M14" i="16"/>
  <c r="J73" i="17"/>
  <c r="K73" i="17" s="1"/>
  <c r="I74" i="17"/>
  <c r="H75" i="17"/>
  <c r="I75" i="17"/>
  <c r="I84" i="17"/>
  <c r="I91" i="17"/>
  <c r="I95" i="17"/>
  <c r="I99" i="17"/>
  <c r="I100" i="17"/>
  <c r="K36" i="17"/>
  <c r="K32" i="17"/>
  <c r="K24" i="17"/>
  <c r="K20" i="17"/>
  <c r="K16" i="17"/>
  <c r="K12" i="17"/>
  <c r="K8" i="17"/>
  <c r="K6" i="17"/>
  <c r="K4" i="17"/>
  <c r="K3" i="17"/>
  <c r="I330" i="16"/>
  <c r="N330" i="16"/>
  <c r="V58" i="16"/>
  <c r="V26" i="16"/>
  <c r="R12" i="16"/>
  <c r="S73" i="16"/>
  <c r="S12" i="16"/>
  <c r="U85" i="16"/>
  <c r="U84" i="16"/>
  <c r="U83" i="16"/>
  <c r="U82" i="16"/>
  <c r="U81" i="16"/>
  <c r="U80" i="16"/>
  <c r="U79" i="16"/>
  <c r="U78" i="16"/>
  <c r="U77" i="16"/>
  <c r="U76" i="16"/>
  <c r="U75" i="16"/>
  <c r="U74" i="16"/>
  <c r="U73" i="16"/>
  <c r="U72" i="16"/>
  <c r="U71" i="16"/>
  <c r="U70" i="16"/>
  <c r="U69" i="16"/>
  <c r="U68" i="16"/>
  <c r="U67" i="16"/>
  <c r="U66" i="16"/>
  <c r="U65" i="16"/>
  <c r="U64" i="16"/>
  <c r="U63" i="16"/>
  <c r="U62" i="16"/>
  <c r="U61" i="16"/>
  <c r="U59" i="16"/>
  <c r="U58" i="16"/>
  <c r="U56" i="16"/>
  <c r="U55" i="16"/>
  <c r="U54" i="16"/>
  <c r="U53" i="16"/>
  <c r="U52" i="16"/>
  <c r="U50" i="16"/>
  <c r="U49" i="16"/>
  <c r="U48" i="16"/>
  <c r="U47" i="16"/>
  <c r="U46" i="16"/>
  <c r="U44" i="16"/>
  <c r="U43" i="16"/>
  <c r="U42" i="16"/>
  <c r="U41" i="16"/>
  <c r="U40" i="16"/>
  <c r="U39" i="16"/>
  <c r="U38" i="16"/>
  <c r="U37" i="16"/>
  <c r="U36" i="16"/>
  <c r="U35" i="16"/>
  <c r="U34" i="16"/>
  <c r="U30" i="16"/>
  <c r="U29" i="16"/>
  <c r="U28" i="16"/>
  <c r="U27" i="16"/>
  <c r="U26" i="16"/>
  <c r="U25" i="16"/>
  <c r="U24" i="16"/>
  <c r="U23" i="16"/>
  <c r="U20" i="16"/>
  <c r="U19" i="16"/>
  <c r="U18" i="16"/>
  <c r="U17" i="16"/>
  <c r="U16" i="16"/>
  <c r="U15" i="16"/>
  <c r="U14" i="16"/>
  <c r="U13" i="16"/>
  <c r="U12" i="16"/>
  <c r="R84" i="16"/>
  <c r="R81" i="16"/>
  <c r="R80" i="16"/>
  <c r="R83" i="16"/>
  <c r="R79" i="16"/>
  <c r="R78" i="16"/>
  <c r="R75" i="16"/>
  <c r="R74" i="16"/>
  <c r="R73" i="16"/>
  <c r="R72" i="16"/>
  <c r="R71" i="16"/>
  <c r="R70" i="16"/>
  <c r="R69" i="16"/>
  <c r="R65" i="16"/>
  <c r="R64" i="16"/>
  <c r="R63" i="16"/>
  <c r="R62" i="16"/>
  <c r="R61" i="16"/>
  <c r="R60" i="16"/>
  <c r="R59" i="16"/>
  <c r="R58" i="16"/>
  <c r="R56" i="16"/>
  <c r="R57" i="16"/>
  <c r="R50" i="16"/>
  <c r="R49" i="16"/>
  <c r="R48" i="16"/>
  <c r="R47" i="16"/>
  <c r="R46" i="16"/>
  <c r="R45" i="16"/>
  <c r="R43" i="16"/>
  <c r="R44" i="16"/>
  <c r="R41" i="16"/>
  <c r="R40" i="16"/>
  <c r="R39" i="16"/>
  <c r="R37" i="16"/>
  <c r="R36" i="16"/>
  <c r="R34" i="16"/>
  <c r="R29" i="16"/>
  <c r="R28" i="16"/>
  <c r="R27" i="16"/>
  <c r="R26" i="16"/>
  <c r="R25" i="16"/>
  <c r="R24" i="16"/>
  <c r="R23" i="16"/>
  <c r="R22" i="16"/>
  <c r="R21" i="16"/>
  <c r="R20" i="16"/>
  <c r="R19" i="16"/>
  <c r="R18" i="16"/>
  <c r="S25" i="16"/>
  <c r="R85" i="16"/>
  <c r="R66" i="16"/>
  <c r="R53" i="16"/>
  <c r="R35" i="16"/>
  <c r="R32" i="16"/>
  <c r="R15" i="16"/>
  <c r="F407" i="17"/>
  <c r="G407" i="17"/>
  <c r="F408" i="17"/>
  <c r="G408" i="17"/>
  <c r="F409" i="17"/>
  <c r="G409" i="17"/>
  <c r="F410" i="17"/>
  <c r="G410" i="17"/>
  <c r="F411" i="17"/>
  <c r="G411" i="17"/>
  <c r="F412" i="17"/>
  <c r="G412" i="17"/>
  <c r="F413" i="17"/>
  <c r="G413" i="17"/>
  <c r="F414" i="17"/>
  <c r="G414" i="17"/>
  <c r="F415" i="17"/>
  <c r="G415" i="17"/>
  <c r="F416" i="17"/>
  <c r="G416" i="17"/>
  <c r="F417" i="17"/>
  <c r="G417" i="17"/>
  <c r="F418" i="17"/>
  <c r="G418" i="17"/>
  <c r="F419" i="17"/>
  <c r="G419" i="17"/>
  <c r="F420" i="17"/>
  <c r="G420" i="17"/>
  <c r="F421" i="17"/>
  <c r="G421" i="17"/>
  <c r="F372" i="17"/>
  <c r="G372" i="17"/>
  <c r="F373" i="17"/>
  <c r="G373" i="17"/>
  <c r="F374" i="17"/>
  <c r="G374" i="17"/>
  <c r="F375" i="17"/>
  <c r="G375" i="17"/>
  <c r="F376" i="17"/>
  <c r="G376" i="17"/>
  <c r="F377" i="17"/>
  <c r="G377" i="17"/>
  <c r="F378" i="17"/>
  <c r="G378" i="17"/>
  <c r="F379" i="17"/>
  <c r="G379" i="17"/>
  <c r="F380" i="17"/>
  <c r="G380" i="17"/>
  <c r="F381" i="17"/>
  <c r="G381" i="17"/>
  <c r="F382" i="17"/>
  <c r="G382" i="17"/>
  <c r="F383" i="17"/>
  <c r="G383" i="17"/>
  <c r="F384" i="17"/>
  <c r="G384" i="17"/>
  <c r="F385" i="17"/>
  <c r="G385" i="17"/>
  <c r="F386" i="17"/>
  <c r="G386" i="17"/>
  <c r="G351" i="17"/>
  <c r="F351" i="17"/>
  <c r="G350" i="17"/>
  <c r="F350" i="17"/>
  <c r="G349" i="17"/>
  <c r="F349" i="17"/>
  <c r="G348" i="17"/>
  <c r="F348" i="17"/>
  <c r="G347" i="17"/>
  <c r="F347" i="17"/>
  <c r="G346" i="17"/>
  <c r="F346" i="17"/>
  <c r="G345" i="17"/>
  <c r="F345" i="17"/>
  <c r="G344" i="17"/>
  <c r="F344" i="17"/>
  <c r="G343" i="17"/>
  <c r="F343" i="17"/>
  <c r="G342" i="17"/>
  <c r="F342" i="17"/>
  <c r="G341" i="17"/>
  <c r="F341" i="17"/>
  <c r="G340" i="17"/>
  <c r="F340" i="17"/>
  <c r="G339" i="17"/>
  <c r="F339" i="17"/>
  <c r="G338" i="17"/>
  <c r="F338" i="17"/>
  <c r="G337" i="17"/>
  <c r="F337" i="17"/>
  <c r="G336" i="17"/>
  <c r="F336" i="17"/>
  <c r="G317" i="17"/>
  <c r="G316" i="17"/>
  <c r="F316" i="17"/>
  <c r="G315" i="17"/>
  <c r="F315" i="17"/>
  <c r="G314" i="17"/>
  <c r="F314" i="17"/>
  <c r="G313" i="17"/>
  <c r="F313" i="17"/>
  <c r="G312" i="17"/>
  <c r="F312" i="17"/>
  <c r="G311" i="17"/>
  <c r="F311" i="17"/>
  <c r="G310" i="17"/>
  <c r="F310" i="17"/>
  <c r="G309" i="17"/>
  <c r="F309" i="17"/>
  <c r="G308" i="17"/>
  <c r="F308" i="17"/>
  <c r="G307" i="17"/>
  <c r="F307" i="17"/>
  <c r="G306" i="17"/>
  <c r="F306" i="17"/>
  <c r="G305" i="17"/>
  <c r="F305" i="17"/>
  <c r="G304" i="17"/>
  <c r="F304" i="17"/>
  <c r="G303" i="17"/>
  <c r="F303" i="17"/>
  <c r="G302" i="17"/>
  <c r="F302" i="17"/>
  <c r="F301" i="17"/>
  <c r="F267" i="17"/>
  <c r="G267" i="17"/>
  <c r="F268" i="17"/>
  <c r="G268" i="17"/>
  <c r="F269" i="17"/>
  <c r="G269" i="17"/>
  <c r="F270" i="17"/>
  <c r="G270" i="17"/>
  <c r="F271" i="17"/>
  <c r="G271" i="17"/>
  <c r="F272" i="17"/>
  <c r="G272" i="17"/>
  <c r="F273" i="17"/>
  <c r="G273" i="17"/>
  <c r="F274" i="17"/>
  <c r="G274" i="17"/>
  <c r="F275" i="17"/>
  <c r="G275" i="17"/>
  <c r="F276" i="17"/>
  <c r="G276" i="17"/>
  <c r="F277" i="17"/>
  <c r="G277" i="17"/>
  <c r="F278" i="17"/>
  <c r="G278" i="17"/>
  <c r="F279" i="17"/>
  <c r="G279" i="17"/>
  <c r="F280" i="17"/>
  <c r="G280" i="17"/>
  <c r="F281" i="17"/>
  <c r="G281" i="17"/>
  <c r="F232" i="17"/>
  <c r="G232" i="17"/>
  <c r="F233" i="17"/>
  <c r="G233" i="17"/>
  <c r="F234" i="17"/>
  <c r="G234" i="17"/>
  <c r="F235" i="17"/>
  <c r="G235" i="17"/>
  <c r="F236" i="17"/>
  <c r="G236" i="17"/>
  <c r="F237" i="17"/>
  <c r="G237" i="17"/>
  <c r="F238" i="17"/>
  <c r="G238" i="17"/>
  <c r="F239" i="17"/>
  <c r="G239" i="17"/>
  <c r="F240" i="17"/>
  <c r="G240" i="17"/>
  <c r="F241" i="17"/>
  <c r="G241" i="17"/>
  <c r="F242" i="17"/>
  <c r="G242" i="17"/>
  <c r="F243" i="17"/>
  <c r="G243" i="17"/>
  <c r="F244" i="17"/>
  <c r="G244" i="17"/>
  <c r="F245" i="17"/>
  <c r="G245" i="17"/>
  <c r="F246" i="17"/>
  <c r="G246" i="17"/>
  <c r="C407" i="17"/>
  <c r="D407" i="17"/>
  <c r="C408" i="17"/>
  <c r="D408" i="17"/>
  <c r="C409" i="17"/>
  <c r="D409" i="17"/>
  <c r="C410" i="17"/>
  <c r="D410" i="17"/>
  <c r="C411" i="17"/>
  <c r="D411" i="17"/>
  <c r="C412" i="17"/>
  <c r="D412" i="17"/>
  <c r="C413" i="17"/>
  <c r="D413" i="17"/>
  <c r="C414" i="17"/>
  <c r="D414" i="17"/>
  <c r="C415" i="17"/>
  <c r="D415" i="17"/>
  <c r="C416" i="17"/>
  <c r="D416" i="17"/>
  <c r="C417" i="17"/>
  <c r="D417" i="17"/>
  <c r="C418" i="17"/>
  <c r="D418" i="17"/>
  <c r="C419" i="17"/>
  <c r="D419" i="17"/>
  <c r="C420" i="17"/>
  <c r="D420" i="17"/>
  <c r="C421" i="17"/>
  <c r="D421" i="17"/>
  <c r="C372" i="17"/>
  <c r="D372" i="17"/>
  <c r="C373" i="17"/>
  <c r="D373" i="17"/>
  <c r="C374" i="17"/>
  <c r="D374" i="17"/>
  <c r="C375" i="17"/>
  <c r="D375" i="17"/>
  <c r="C376" i="17"/>
  <c r="D376" i="17"/>
  <c r="C377" i="17"/>
  <c r="D377" i="17"/>
  <c r="C378" i="17"/>
  <c r="D378" i="17"/>
  <c r="C379" i="17"/>
  <c r="D379" i="17"/>
  <c r="C380" i="17"/>
  <c r="D380" i="17"/>
  <c r="C381" i="17"/>
  <c r="D381" i="17"/>
  <c r="C382" i="17"/>
  <c r="D382" i="17"/>
  <c r="C383" i="17"/>
  <c r="D383" i="17"/>
  <c r="C384" i="17"/>
  <c r="D384" i="17"/>
  <c r="C385" i="17"/>
  <c r="D385" i="17"/>
  <c r="C386" i="17"/>
  <c r="D386" i="17"/>
  <c r="C337" i="17"/>
  <c r="D337" i="17"/>
  <c r="C338" i="17"/>
  <c r="D338" i="17"/>
  <c r="C339" i="17"/>
  <c r="D339" i="17"/>
  <c r="C340" i="17"/>
  <c r="D340" i="17"/>
  <c r="C341" i="17"/>
  <c r="D341" i="17"/>
  <c r="C342" i="17"/>
  <c r="D342" i="17"/>
  <c r="C343" i="17"/>
  <c r="D343" i="17"/>
  <c r="C344" i="17"/>
  <c r="D344" i="17"/>
  <c r="C345" i="17"/>
  <c r="D345" i="17"/>
  <c r="C346" i="17"/>
  <c r="D346" i="17"/>
  <c r="C347" i="17"/>
  <c r="D347" i="17"/>
  <c r="C348" i="17"/>
  <c r="D348" i="17"/>
  <c r="C349" i="17"/>
  <c r="D349" i="17"/>
  <c r="C350" i="17"/>
  <c r="D350" i="17"/>
  <c r="C351" i="17"/>
  <c r="D351" i="17"/>
  <c r="C302" i="17"/>
  <c r="D302" i="17"/>
  <c r="C303" i="17"/>
  <c r="D303" i="17"/>
  <c r="C304" i="17"/>
  <c r="D304" i="17"/>
  <c r="C305" i="17"/>
  <c r="D305" i="17"/>
  <c r="C306" i="17"/>
  <c r="D306" i="17"/>
  <c r="C307" i="17"/>
  <c r="D307" i="17"/>
  <c r="C308" i="17"/>
  <c r="D308" i="17"/>
  <c r="C309" i="17"/>
  <c r="D309" i="17"/>
  <c r="C310" i="17"/>
  <c r="D310" i="17"/>
  <c r="C311" i="17"/>
  <c r="D311" i="17"/>
  <c r="C312" i="17"/>
  <c r="D312" i="17"/>
  <c r="C313" i="17"/>
  <c r="D313" i="17"/>
  <c r="C314" i="17"/>
  <c r="D314" i="17"/>
  <c r="C315" i="17"/>
  <c r="D315" i="17"/>
  <c r="C316" i="17"/>
  <c r="D316" i="17"/>
  <c r="C267" i="17"/>
  <c r="D267" i="17"/>
  <c r="C268" i="17"/>
  <c r="D268" i="17"/>
  <c r="C269" i="17"/>
  <c r="D269" i="17"/>
  <c r="C270" i="17"/>
  <c r="D270" i="17"/>
  <c r="C271" i="17"/>
  <c r="D271" i="17"/>
  <c r="C272" i="17"/>
  <c r="D272" i="17"/>
  <c r="C273" i="17"/>
  <c r="D273" i="17"/>
  <c r="C274" i="17"/>
  <c r="D274" i="17"/>
  <c r="C275" i="17"/>
  <c r="D275" i="17"/>
  <c r="C276" i="17"/>
  <c r="D276" i="17"/>
  <c r="C277" i="17"/>
  <c r="D277" i="17"/>
  <c r="C278" i="17"/>
  <c r="D278" i="17"/>
  <c r="C279" i="17"/>
  <c r="D279" i="17"/>
  <c r="C280" i="17"/>
  <c r="D280" i="17"/>
  <c r="C281" i="17"/>
  <c r="D281" i="17"/>
  <c r="C230" i="17"/>
  <c r="D230" i="17"/>
  <c r="C231" i="17"/>
  <c r="D231" i="17"/>
  <c r="C232" i="17"/>
  <c r="D232" i="17"/>
  <c r="C233" i="17"/>
  <c r="D233" i="17"/>
  <c r="C234" i="17"/>
  <c r="D234" i="17"/>
  <c r="C235" i="17"/>
  <c r="D235" i="17"/>
  <c r="C236" i="17"/>
  <c r="D236" i="17"/>
  <c r="C237" i="17"/>
  <c r="D237" i="17"/>
  <c r="C238" i="17"/>
  <c r="D238" i="17"/>
  <c r="C239" i="17"/>
  <c r="D239" i="17"/>
  <c r="C240" i="17"/>
  <c r="D240" i="17"/>
  <c r="C241" i="17"/>
  <c r="D241" i="17"/>
  <c r="C242" i="17"/>
  <c r="D242" i="17"/>
  <c r="C243" i="17"/>
  <c r="D243" i="17"/>
  <c r="C244" i="17"/>
  <c r="D244" i="17"/>
  <c r="C245" i="17"/>
  <c r="D245" i="17"/>
  <c r="C246" i="17"/>
  <c r="D246" i="17"/>
  <c r="C197" i="17"/>
  <c r="D197" i="17"/>
  <c r="F197" i="17"/>
  <c r="G197" i="17"/>
  <c r="C198" i="17"/>
  <c r="D198" i="17"/>
  <c r="F198" i="17"/>
  <c r="G198" i="17"/>
  <c r="C199" i="17"/>
  <c r="D199" i="17"/>
  <c r="F199" i="17"/>
  <c r="G199" i="17"/>
  <c r="C200" i="17"/>
  <c r="D200" i="17"/>
  <c r="F200" i="17"/>
  <c r="G200" i="17"/>
  <c r="C201" i="17"/>
  <c r="D201" i="17"/>
  <c r="F201" i="17"/>
  <c r="G201" i="17"/>
  <c r="C202" i="17"/>
  <c r="D202" i="17"/>
  <c r="F202" i="17"/>
  <c r="G202" i="17"/>
  <c r="C203" i="17"/>
  <c r="D203" i="17"/>
  <c r="F203" i="17"/>
  <c r="G203" i="17"/>
  <c r="C204" i="17"/>
  <c r="D204" i="17"/>
  <c r="F204" i="17"/>
  <c r="G204" i="17"/>
  <c r="C205" i="17"/>
  <c r="D205" i="17"/>
  <c r="F205" i="17"/>
  <c r="G205" i="17"/>
  <c r="C206" i="17"/>
  <c r="D206" i="17"/>
  <c r="F206" i="17"/>
  <c r="G206" i="17"/>
  <c r="C207" i="17"/>
  <c r="D207" i="17"/>
  <c r="F207" i="17"/>
  <c r="G207" i="17"/>
  <c r="C208" i="17"/>
  <c r="D208" i="17"/>
  <c r="F208" i="17"/>
  <c r="G208" i="17"/>
  <c r="C209" i="17"/>
  <c r="D209" i="17"/>
  <c r="F209" i="17"/>
  <c r="G209" i="17"/>
  <c r="C210" i="17"/>
  <c r="D210" i="17"/>
  <c r="F210" i="17"/>
  <c r="G210" i="17"/>
  <c r="C211" i="17"/>
  <c r="D211" i="17"/>
  <c r="F211" i="17"/>
  <c r="G211" i="17"/>
  <c r="C162" i="17"/>
  <c r="D162" i="17"/>
  <c r="F162" i="17"/>
  <c r="G162" i="17"/>
  <c r="C163" i="17"/>
  <c r="D163" i="17"/>
  <c r="F163" i="17"/>
  <c r="G163" i="17"/>
  <c r="C164" i="17"/>
  <c r="D164" i="17"/>
  <c r="F164" i="17"/>
  <c r="G164" i="17"/>
  <c r="C165" i="17"/>
  <c r="D165" i="17"/>
  <c r="F165" i="17"/>
  <c r="G165" i="17"/>
  <c r="C166" i="17"/>
  <c r="D166" i="17"/>
  <c r="F166" i="17"/>
  <c r="G166" i="17"/>
  <c r="C167" i="17"/>
  <c r="D167" i="17"/>
  <c r="F167" i="17"/>
  <c r="G167" i="17"/>
  <c r="C168" i="17"/>
  <c r="D168" i="17"/>
  <c r="F168" i="17"/>
  <c r="G168" i="17"/>
  <c r="C169" i="17"/>
  <c r="D169" i="17"/>
  <c r="F169" i="17"/>
  <c r="G169" i="17"/>
  <c r="C170" i="17"/>
  <c r="D170" i="17"/>
  <c r="F170" i="17"/>
  <c r="G170" i="17"/>
  <c r="C171" i="17"/>
  <c r="D171" i="17"/>
  <c r="F171" i="17"/>
  <c r="G171" i="17"/>
  <c r="C172" i="17"/>
  <c r="D172" i="17"/>
  <c r="F172" i="17"/>
  <c r="G172" i="17"/>
  <c r="C173" i="17"/>
  <c r="D173" i="17"/>
  <c r="F173" i="17"/>
  <c r="G173" i="17"/>
  <c r="C174" i="17"/>
  <c r="D174" i="17"/>
  <c r="F174" i="17"/>
  <c r="G174" i="17"/>
  <c r="C175" i="17"/>
  <c r="D175" i="17"/>
  <c r="F175" i="17"/>
  <c r="G175" i="17"/>
  <c r="C176" i="17"/>
  <c r="D176" i="17"/>
  <c r="F176" i="17"/>
  <c r="G176" i="17"/>
  <c r="C125" i="17"/>
  <c r="D125" i="17"/>
  <c r="F125" i="17"/>
  <c r="G125" i="17"/>
  <c r="C126" i="17"/>
  <c r="D126" i="17"/>
  <c r="F126" i="17"/>
  <c r="G126" i="17"/>
  <c r="C127" i="17"/>
  <c r="D127" i="17"/>
  <c r="F127" i="17"/>
  <c r="G127" i="17"/>
  <c r="C128" i="17"/>
  <c r="D128" i="17"/>
  <c r="F128" i="17"/>
  <c r="G128" i="17"/>
  <c r="C129" i="17"/>
  <c r="D129" i="17"/>
  <c r="F129" i="17"/>
  <c r="G129" i="17"/>
  <c r="C130" i="17"/>
  <c r="D130" i="17"/>
  <c r="F130" i="17"/>
  <c r="G130" i="17"/>
  <c r="C131" i="17"/>
  <c r="D131" i="17"/>
  <c r="F131" i="17"/>
  <c r="G131" i="17"/>
  <c r="C132" i="17"/>
  <c r="D132" i="17"/>
  <c r="F132" i="17"/>
  <c r="G132" i="17"/>
  <c r="C133" i="17"/>
  <c r="D133" i="17"/>
  <c r="F133" i="17"/>
  <c r="G133" i="17"/>
  <c r="C134" i="17"/>
  <c r="D134" i="17"/>
  <c r="F134" i="17"/>
  <c r="G134" i="17"/>
  <c r="C135" i="17"/>
  <c r="D135" i="17"/>
  <c r="F135" i="17"/>
  <c r="G135" i="17"/>
  <c r="C136" i="17"/>
  <c r="D136" i="17"/>
  <c r="F136" i="17"/>
  <c r="G136" i="17"/>
  <c r="C137" i="17"/>
  <c r="D137" i="17"/>
  <c r="F137" i="17"/>
  <c r="G137" i="17"/>
  <c r="C138" i="17"/>
  <c r="D138" i="17"/>
  <c r="F138" i="17"/>
  <c r="G138" i="17"/>
  <c r="C139" i="17"/>
  <c r="D139" i="17"/>
  <c r="F139" i="17"/>
  <c r="G139" i="17"/>
  <c r="C140" i="17"/>
  <c r="D140" i="17"/>
  <c r="F140" i="17"/>
  <c r="G140" i="17"/>
  <c r="C141" i="17"/>
  <c r="D141" i="17"/>
  <c r="F141" i="17"/>
  <c r="G141" i="17"/>
  <c r="D142" i="17"/>
  <c r="C92" i="17"/>
  <c r="D92" i="17"/>
  <c r="F92" i="17"/>
  <c r="G92" i="17"/>
  <c r="C93" i="17"/>
  <c r="D93" i="17"/>
  <c r="F93" i="17"/>
  <c r="G93" i="17"/>
  <c r="C94" i="17"/>
  <c r="D94" i="17"/>
  <c r="F94" i="17"/>
  <c r="G94" i="17"/>
  <c r="C95" i="17"/>
  <c r="D95" i="17"/>
  <c r="F95" i="17"/>
  <c r="G95" i="17"/>
  <c r="C96" i="17"/>
  <c r="D96" i="17"/>
  <c r="F96" i="17"/>
  <c r="G96" i="17"/>
  <c r="C97" i="17"/>
  <c r="D97" i="17"/>
  <c r="F97" i="17"/>
  <c r="G97" i="17"/>
  <c r="C98" i="17"/>
  <c r="D98" i="17"/>
  <c r="F98" i="17"/>
  <c r="G98" i="17"/>
  <c r="C99" i="17"/>
  <c r="D99" i="17"/>
  <c r="F99" i="17"/>
  <c r="G99" i="17"/>
  <c r="C100" i="17"/>
  <c r="D100" i="17"/>
  <c r="F100" i="17"/>
  <c r="G100" i="17"/>
  <c r="C101" i="17"/>
  <c r="D101" i="17"/>
  <c r="F101" i="17"/>
  <c r="G101" i="17"/>
  <c r="C102" i="17"/>
  <c r="D102" i="17"/>
  <c r="F102" i="17"/>
  <c r="G102" i="17"/>
  <c r="C103" i="17"/>
  <c r="D103" i="17"/>
  <c r="F103" i="17"/>
  <c r="G103" i="17"/>
  <c r="C104" i="17"/>
  <c r="D104" i="17"/>
  <c r="F104" i="17"/>
  <c r="G104" i="17"/>
  <c r="C105" i="17"/>
  <c r="D105" i="17"/>
  <c r="F105" i="17"/>
  <c r="G105" i="17"/>
  <c r="C106" i="17"/>
  <c r="D106" i="17"/>
  <c r="F106" i="17"/>
  <c r="G106" i="17"/>
  <c r="C57" i="17"/>
  <c r="D57" i="17"/>
  <c r="F57" i="17"/>
  <c r="G57" i="17"/>
  <c r="C58" i="17"/>
  <c r="D58" i="17"/>
  <c r="F58" i="17"/>
  <c r="G58" i="17"/>
  <c r="C59" i="17"/>
  <c r="D59" i="17"/>
  <c r="F59" i="17"/>
  <c r="G59" i="17"/>
  <c r="C60" i="17"/>
  <c r="D60" i="17"/>
  <c r="F60" i="17"/>
  <c r="G60" i="17"/>
  <c r="C61" i="17"/>
  <c r="D61" i="17"/>
  <c r="F61" i="17"/>
  <c r="G61" i="17"/>
  <c r="C62" i="17"/>
  <c r="D62" i="17"/>
  <c r="F62" i="17"/>
  <c r="G62" i="17"/>
  <c r="C63" i="17"/>
  <c r="D63" i="17"/>
  <c r="F63" i="17"/>
  <c r="G63" i="17"/>
  <c r="C64" i="17"/>
  <c r="D64" i="17"/>
  <c r="F64" i="17"/>
  <c r="G64" i="17"/>
  <c r="C65" i="17"/>
  <c r="D65" i="17"/>
  <c r="F65" i="17"/>
  <c r="G65" i="17"/>
  <c r="C66" i="17"/>
  <c r="D66" i="17"/>
  <c r="F66" i="17"/>
  <c r="G66" i="17"/>
  <c r="C67" i="17"/>
  <c r="D67" i="17"/>
  <c r="F67" i="17"/>
  <c r="G67" i="17"/>
  <c r="C68" i="17"/>
  <c r="D68" i="17"/>
  <c r="F68" i="17"/>
  <c r="G68" i="17"/>
  <c r="C69" i="17"/>
  <c r="D69" i="17"/>
  <c r="F69" i="17"/>
  <c r="G69" i="17"/>
  <c r="C70" i="17"/>
  <c r="D70" i="17"/>
  <c r="F70" i="17"/>
  <c r="G70" i="17"/>
  <c r="C71" i="17"/>
  <c r="D71" i="17"/>
  <c r="F71" i="17"/>
  <c r="G71" i="17"/>
  <c r="C368" i="17"/>
  <c r="C369" i="17"/>
  <c r="C370" i="17"/>
  <c r="C371" i="17"/>
  <c r="C160" i="17"/>
  <c r="D160" i="17"/>
  <c r="F160" i="17"/>
  <c r="G160" i="17"/>
  <c r="C161" i="17"/>
  <c r="D161" i="17"/>
  <c r="F161" i="17"/>
  <c r="G161" i="17"/>
  <c r="C264" i="17"/>
  <c r="D264" i="17"/>
  <c r="F264" i="17"/>
  <c r="G264" i="17"/>
  <c r="C265" i="17"/>
  <c r="D265" i="17"/>
  <c r="F265" i="17"/>
  <c r="G265" i="17"/>
  <c r="C266" i="17"/>
  <c r="D266" i="17"/>
  <c r="F266" i="17"/>
  <c r="G266" i="17"/>
  <c r="C357" i="17"/>
  <c r="D357" i="17"/>
  <c r="D358" i="17"/>
  <c r="G358" i="17"/>
  <c r="C359" i="17"/>
  <c r="C360" i="17"/>
  <c r="D360" i="17"/>
  <c r="F360" i="17"/>
  <c r="G360" i="17"/>
  <c r="C361" i="17"/>
  <c r="D361" i="17"/>
  <c r="F361" i="17"/>
  <c r="G361" i="17"/>
  <c r="C362" i="17"/>
  <c r="D362" i="17"/>
  <c r="F362" i="17"/>
  <c r="G362" i="17"/>
  <c r="C363" i="17"/>
  <c r="D363" i="17"/>
  <c r="F363" i="17"/>
  <c r="G363" i="17"/>
  <c r="C364" i="17"/>
  <c r="D364" i="17"/>
  <c r="F364" i="17"/>
  <c r="G364" i="17"/>
  <c r="C365" i="17"/>
  <c r="D365" i="17"/>
  <c r="F365" i="17"/>
  <c r="G365" i="17"/>
  <c r="C366" i="17"/>
  <c r="D366" i="17"/>
  <c r="F366" i="17"/>
  <c r="G366" i="17"/>
  <c r="C367" i="17"/>
  <c r="D367" i="17"/>
  <c r="F367" i="17"/>
  <c r="G367" i="17"/>
  <c r="D368" i="17"/>
  <c r="F368" i="17"/>
  <c r="G368" i="17"/>
  <c r="D369" i="17"/>
  <c r="F369" i="17"/>
  <c r="G369" i="17"/>
  <c r="D370" i="17"/>
  <c r="F370" i="17"/>
  <c r="G370" i="17"/>
  <c r="D371" i="17"/>
  <c r="F371" i="17"/>
  <c r="G371" i="17"/>
  <c r="C392" i="17"/>
  <c r="D392" i="17"/>
  <c r="G392" i="17"/>
  <c r="C393" i="17"/>
  <c r="C394" i="17"/>
  <c r="D394" i="17"/>
  <c r="F394" i="17"/>
  <c r="G394" i="17"/>
  <c r="C395" i="17"/>
  <c r="D395" i="17"/>
  <c r="C396" i="17"/>
  <c r="D396" i="17"/>
  <c r="F396" i="17"/>
  <c r="G396" i="17"/>
  <c r="C397" i="17"/>
  <c r="D397" i="17"/>
  <c r="F397" i="17"/>
  <c r="G397" i="17"/>
  <c r="C398" i="17"/>
  <c r="D398" i="17"/>
  <c r="F398" i="17"/>
  <c r="G398" i="17"/>
  <c r="C399" i="17"/>
  <c r="D399" i="17"/>
  <c r="F399" i="17"/>
  <c r="G399" i="17"/>
  <c r="C400" i="17"/>
  <c r="D400" i="17"/>
  <c r="F400" i="17"/>
  <c r="G400" i="17"/>
  <c r="C401" i="17"/>
  <c r="D401" i="17"/>
  <c r="F401" i="17"/>
  <c r="G401" i="17"/>
  <c r="C402" i="17"/>
  <c r="D402" i="17"/>
  <c r="F402" i="17"/>
  <c r="G402" i="17"/>
  <c r="C403" i="17"/>
  <c r="D403" i="17"/>
  <c r="F403" i="17"/>
  <c r="G403" i="17"/>
  <c r="C404" i="17"/>
  <c r="D404" i="17"/>
  <c r="F404" i="17"/>
  <c r="G404" i="17"/>
  <c r="C405" i="17"/>
  <c r="D405" i="17"/>
  <c r="F405" i="17"/>
  <c r="G405" i="17"/>
  <c r="C406" i="17"/>
  <c r="D406" i="17"/>
  <c r="F406" i="17"/>
  <c r="G406" i="17"/>
  <c r="M391" i="16"/>
  <c r="M392" i="16"/>
  <c r="M394" i="16"/>
  <c r="M395" i="16"/>
  <c r="M397" i="16"/>
  <c r="M398" i="16"/>
  <c r="M400" i="16"/>
  <c r="M401" i="16"/>
  <c r="M403" i="16"/>
  <c r="M404" i="16"/>
  <c r="M406" i="16"/>
  <c r="M407" i="16"/>
  <c r="M409" i="16"/>
  <c r="M410" i="16"/>
  <c r="M412" i="16"/>
  <c r="M413" i="16"/>
  <c r="M415" i="16"/>
  <c r="M416" i="16"/>
  <c r="M418" i="16"/>
  <c r="M419" i="16"/>
  <c r="M421" i="16"/>
  <c r="M422" i="16"/>
  <c r="M424" i="16"/>
  <c r="M425" i="16"/>
  <c r="M427" i="16"/>
  <c r="M428" i="16"/>
  <c r="M430" i="16"/>
  <c r="M431" i="16"/>
  <c r="M433" i="16"/>
  <c r="M434" i="16"/>
  <c r="M285" i="16"/>
  <c r="M286" i="16"/>
  <c r="M288" i="16"/>
  <c r="M289" i="16"/>
  <c r="M291" i="16"/>
  <c r="M292" i="16"/>
  <c r="M294" i="16"/>
  <c r="M295" i="16"/>
  <c r="M297" i="16"/>
  <c r="M298" i="16"/>
  <c r="M300" i="16"/>
  <c r="M301" i="16"/>
  <c r="M303" i="16"/>
  <c r="M304" i="16"/>
  <c r="M306" i="16"/>
  <c r="M307" i="16"/>
  <c r="M309" i="16"/>
  <c r="M310" i="16"/>
  <c r="M312" i="16"/>
  <c r="M313" i="16"/>
  <c r="M315" i="16"/>
  <c r="M316" i="16"/>
  <c r="M318" i="16"/>
  <c r="M319" i="16"/>
  <c r="M321" i="16"/>
  <c r="M322" i="16"/>
  <c r="M324" i="16"/>
  <c r="M325" i="16"/>
  <c r="M327" i="16"/>
  <c r="M328" i="16"/>
  <c r="M179" i="16"/>
  <c r="M180" i="16"/>
  <c r="M182" i="16"/>
  <c r="M183" i="16"/>
  <c r="M185" i="16"/>
  <c r="M186" i="16"/>
  <c r="M188" i="16"/>
  <c r="M189" i="16"/>
  <c r="M191" i="16"/>
  <c r="M192" i="16"/>
  <c r="M194" i="16"/>
  <c r="M195" i="16"/>
  <c r="M197" i="16"/>
  <c r="M198" i="16"/>
  <c r="M200" i="16"/>
  <c r="M201" i="16"/>
  <c r="M203" i="16"/>
  <c r="M204" i="16"/>
  <c r="M206" i="16"/>
  <c r="M207" i="16"/>
  <c r="M209" i="16"/>
  <c r="M210" i="16"/>
  <c r="M212" i="16"/>
  <c r="M213" i="16"/>
  <c r="M215" i="16"/>
  <c r="M216" i="16"/>
  <c r="M218" i="16"/>
  <c r="M219" i="16"/>
  <c r="M221" i="16"/>
  <c r="M222" i="16"/>
  <c r="M116" i="16"/>
  <c r="M115" i="16"/>
  <c r="M113" i="16"/>
  <c r="M112" i="16"/>
  <c r="M110" i="16"/>
  <c r="M109" i="16"/>
  <c r="M107" i="16"/>
  <c r="M106" i="16"/>
  <c r="M104" i="16"/>
  <c r="M103" i="16"/>
  <c r="M101" i="16"/>
  <c r="M100" i="16"/>
  <c r="M98" i="16"/>
  <c r="M97" i="16"/>
  <c r="M95" i="16"/>
  <c r="M94" i="16"/>
  <c r="M92" i="16"/>
  <c r="M91" i="16"/>
  <c r="M89" i="16"/>
  <c r="M88" i="16"/>
  <c r="M86" i="16"/>
  <c r="M85" i="16"/>
  <c r="M83" i="16"/>
  <c r="M82" i="16"/>
  <c r="M80" i="16"/>
  <c r="M79" i="16"/>
  <c r="M77" i="16"/>
  <c r="M76" i="16"/>
  <c r="M74" i="16"/>
  <c r="M73" i="16"/>
  <c r="I116" i="16"/>
  <c r="I115" i="16"/>
  <c r="I113" i="16"/>
  <c r="I112" i="16"/>
  <c r="I110" i="16"/>
  <c r="I109" i="16"/>
  <c r="I107" i="16"/>
  <c r="I106" i="16"/>
  <c r="I104" i="16"/>
  <c r="I103" i="16"/>
  <c r="I101" i="16"/>
  <c r="I100" i="16"/>
  <c r="I98" i="16"/>
  <c r="I97" i="16"/>
  <c r="I95" i="16"/>
  <c r="I94" i="16"/>
  <c r="I92" i="16"/>
  <c r="I91" i="16"/>
  <c r="I89" i="16"/>
  <c r="I88" i="16"/>
  <c r="I86" i="16"/>
  <c r="I85" i="16"/>
  <c r="I83" i="16"/>
  <c r="I82" i="16"/>
  <c r="I80" i="16"/>
  <c r="I79" i="16"/>
  <c r="I77" i="16"/>
  <c r="I76" i="16"/>
  <c r="I74" i="16"/>
  <c r="I73" i="16"/>
  <c r="I71" i="16"/>
  <c r="I70" i="16"/>
  <c r="I68" i="16"/>
  <c r="I67" i="16"/>
  <c r="I65" i="16"/>
  <c r="I64" i="16"/>
  <c r="I62" i="16"/>
  <c r="I61" i="16"/>
  <c r="I59" i="16"/>
  <c r="I58" i="16"/>
  <c r="I56" i="16"/>
  <c r="I55" i="16"/>
  <c r="I53" i="16"/>
  <c r="I52" i="16"/>
  <c r="I50" i="16"/>
  <c r="I49" i="16"/>
  <c r="G36" i="17"/>
  <c r="F36" i="17"/>
  <c r="D36" i="17"/>
  <c r="C36" i="17"/>
  <c r="G35" i="17"/>
  <c r="F35" i="17"/>
  <c r="D35" i="17"/>
  <c r="C35" i="17"/>
  <c r="G34" i="17"/>
  <c r="F34" i="17"/>
  <c r="D34" i="17"/>
  <c r="C34" i="17"/>
  <c r="G33" i="17"/>
  <c r="F33" i="17"/>
  <c r="D33" i="17"/>
  <c r="C33" i="17"/>
  <c r="G32" i="17"/>
  <c r="F32" i="17"/>
  <c r="D32" i="17"/>
  <c r="C32" i="17"/>
  <c r="G31" i="17"/>
  <c r="F31" i="17"/>
  <c r="D31" i="17"/>
  <c r="C31" i="17"/>
  <c r="G30" i="17"/>
  <c r="F30" i="17"/>
  <c r="D30" i="17"/>
  <c r="C30" i="17"/>
  <c r="G29" i="17"/>
  <c r="F29" i="17"/>
  <c r="D29" i="17"/>
  <c r="C29" i="17"/>
  <c r="G28" i="17"/>
  <c r="F28" i="17"/>
  <c r="D28" i="17"/>
  <c r="C28" i="17"/>
  <c r="G27" i="17"/>
  <c r="F27" i="17"/>
  <c r="D27" i="17"/>
  <c r="C27" i="17"/>
  <c r="G26" i="17"/>
  <c r="F26" i="17"/>
  <c r="D26" i="17"/>
  <c r="C26" i="17"/>
  <c r="G25" i="17"/>
  <c r="F25" i="17"/>
  <c r="D25" i="17"/>
  <c r="C25" i="17"/>
  <c r="G24" i="17"/>
  <c r="F24" i="17"/>
  <c r="D24" i="17"/>
  <c r="C24" i="17"/>
  <c r="G23" i="17"/>
  <c r="F23" i="17"/>
  <c r="D23" i="17"/>
  <c r="C23" i="17"/>
  <c r="G22" i="17"/>
  <c r="F22" i="17"/>
  <c r="D22" i="17"/>
  <c r="C22" i="17"/>
  <c r="A381" i="9"/>
  <c r="A390" i="16"/>
  <c r="A391" i="16" s="1"/>
  <c r="A392" i="16" s="1"/>
  <c r="B169" i="9"/>
  <c r="B275" i="9"/>
  <c r="I391" i="16"/>
  <c r="I392" i="16"/>
  <c r="A384" i="9"/>
  <c r="A393" i="16" s="1"/>
  <c r="A394" i="16" s="1"/>
  <c r="A395" i="16" s="1"/>
  <c r="B172" i="9"/>
  <c r="B181" i="16" s="1"/>
  <c r="B278" i="9"/>
  <c r="B384" i="9"/>
  <c r="B393" i="16" s="1"/>
  <c r="I394" i="16"/>
  <c r="I395" i="16"/>
  <c r="A387" i="9"/>
  <c r="A396" i="16" s="1"/>
  <c r="A397" i="16" s="1"/>
  <c r="A398" i="16" s="1"/>
  <c r="B175" i="9"/>
  <c r="B184" i="16" s="1"/>
  <c r="B281" i="9"/>
  <c r="B387" i="9" s="1"/>
  <c r="B396" i="16" s="1"/>
  <c r="I397" i="16"/>
  <c r="I398" i="16"/>
  <c r="A390" i="9"/>
  <c r="A399" i="16" s="1"/>
  <c r="A400" i="16" s="1"/>
  <c r="A401" i="16" s="1"/>
  <c r="B178" i="9"/>
  <c r="B284" i="9"/>
  <c r="B293" i="16" s="1"/>
  <c r="B390" i="9"/>
  <c r="B399" i="16"/>
  <c r="I400" i="16"/>
  <c r="I401" i="16"/>
  <c r="A393" i="9"/>
  <c r="A402" i="16"/>
  <c r="A403" i="16" s="1"/>
  <c r="A404" i="16" s="1"/>
  <c r="B181" i="9"/>
  <c r="B287" i="9"/>
  <c r="B393" i="9"/>
  <c r="B402" i="16"/>
  <c r="I403" i="16"/>
  <c r="I404" i="16"/>
  <c r="A396" i="9"/>
  <c r="A405" i="16" s="1"/>
  <c r="A406" i="16" s="1"/>
  <c r="A407" i="16" s="1"/>
  <c r="B184" i="9"/>
  <c r="B290" i="9" s="1"/>
  <c r="B396" i="9" s="1"/>
  <c r="B405" i="16" s="1"/>
  <c r="I406" i="16"/>
  <c r="I407" i="16"/>
  <c r="A399" i="9"/>
  <c r="A408" i="16"/>
  <c r="A409" i="16" s="1"/>
  <c r="A410" i="16" s="1"/>
  <c r="B187" i="9"/>
  <c r="B293" i="9" s="1"/>
  <c r="B302" i="16" s="1"/>
  <c r="B399" i="9"/>
  <c r="B408" i="16" s="1"/>
  <c r="I409" i="16"/>
  <c r="I410" i="16"/>
  <c r="A402" i="9"/>
  <c r="A411" i="16" s="1"/>
  <c r="A412" i="16" s="1"/>
  <c r="A413" i="16" s="1"/>
  <c r="B190" i="9"/>
  <c r="B199" i="16" s="1"/>
  <c r="B296" i="9"/>
  <c r="B402" i="9" s="1"/>
  <c r="B411" i="16"/>
  <c r="I412" i="16"/>
  <c r="I413" i="16"/>
  <c r="A405" i="9"/>
  <c r="A414" i="16"/>
  <c r="A415" i="16" s="1"/>
  <c r="A416" i="16" s="1"/>
  <c r="B193" i="9"/>
  <c r="B299" i="9" s="1"/>
  <c r="I415" i="16"/>
  <c r="I416" i="16"/>
  <c r="A408" i="9"/>
  <c r="A417" i="16" s="1"/>
  <c r="A418" i="16" s="1"/>
  <c r="A419" i="16" s="1"/>
  <c r="B196" i="9"/>
  <c r="B205" i="16" s="1"/>
  <c r="B302" i="9"/>
  <c r="B311" i="16" s="1"/>
  <c r="I418" i="16"/>
  <c r="I419" i="16"/>
  <c r="A411" i="9"/>
  <c r="A420" i="16" s="1"/>
  <c r="A421" i="16" s="1"/>
  <c r="A422" i="16" s="1"/>
  <c r="B199" i="9"/>
  <c r="I421" i="16"/>
  <c r="I422" i="16"/>
  <c r="A414" i="9"/>
  <c r="A423" i="16" s="1"/>
  <c r="A424" i="16" s="1"/>
  <c r="A425" i="16" s="1"/>
  <c r="B202" i="9"/>
  <c r="B308" i="9"/>
  <c r="B317" i="16" s="1"/>
  <c r="B414" i="9"/>
  <c r="B423" i="16" s="1"/>
  <c r="I424" i="16"/>
  <c r="I425" i="16"/>
  <c r="A417" i="9"/>
  <c r="A426" i="16" s="1"/>
  <c r="A427" i="16" s="1"/>
  <c r="A428" i="16" s="1"/>
  <c r="B205" i="9"/>
  <c r="B311" i="9"/>
  <c r="B320" i="16" s="1"/>
  <c r="I427" i="16"/>
  <c r="I428" i="16"/>
  <c r="A420" i="9"/>
  <c r="A429" i="16" s="1"/>
  <c r="A430" i="16" s="1"/>
  <c r="A431" i="16" s="1"/>
  <c r="B208" i="9"/>
  <c r="B314" i="9" s="1"/>
  <c r="B420" i="9"/>
  <c r="B429" i="16"/>
  <c r="I430" i="16"/>
  <c r="I431" i="16"/>
  <c r="A423" i="9"/>
  <c r="A432" i="16"/>
  <c r="A433" i="16" s="1"/>
  <c r="A434" i="16" s="1"/>
  <c r="B211" i="9"/>
  <c r="B317" i="9" s="1"/>
  <c r="I433" i="16"/>
  <c r="I434" i="16"/>
  <c r="A275" i="9"/>
  <c r="A284" i="16" s="1"/>
  <c r="A285" i="16" s="1"/>
  <c r="A286" i="16" s="1"/>
  <c r="I285" i="16"/>
  <c r="I286" i="16"/>
  <c r="A278" i="9"/>
  <c r="A287" i="16" s="1"/>
  <c r="A288" i="16" s="1"/>
  <c r="A289" i="16" s="1"/>
  <c r="B287" i="16"/>
  <c r="I288" i="16"/>
  <c r="I289" i="16"/>
  <c r="A281" i="9"/>
  <c r="A290" i="16"/>
  <c r="A291" i="16" s="1"/>
  <c r="A292" i="16" s="1"/>
  <c r="B290" i="16"/>
  <c r="I291" i="16"/>
  <c r="I292" i="16"/>
  <c r="A284" i="9"/>
  <c r="A293" i="16"/>
  <c r="A294" i="16" s="1"/>
  <c r="A295" i="16" s="1"/>
  <c r="I294" i="16"/>
  <c r="I295" i="16"/>
  <c r="A287" i="9"/>
  <c r="A296" i="16" s="1"/>
  <c r="A297" i="16" s="1"/>
  <c r="A298" i="16" s="1"/>
  <c r="B296" i="16"/>
  <c r="I297" i="16"/>
  <c r="I298" i="16"/>
  <c r="A290" i="9"/>
  <c r="A299" i="16" s="1"/>
  <c r="A300" i="16" s="1"/>
  <c r="A301" i="16" s="1"/>
  <c r="B299" i="16"/>
  <c r="I300" i="16"/>
  <c r="I301" i="16"/>
  <c r="A293" i="9"/>
  <c r="A302" i="16"/>
  <c r="A303" i="16" s="1"/>
  <c r="A304" i="16" s="1"/>
  <c r="I303" i="16"/>
  <c r="I304" i="16"/>
  <c r="A296" i="9"/>
  <c r="A305" i="16" s="1"/>
  <c r="A306" i="16" s="1"/>
  <c r="A307" i="16" s="1"/>
  <c r="B305" i="16"/>
  <c r="I306" i="16"/>
  <c r="I307" i="16"/>
  <c r="A299" i="9"/>
  <c r="A308" i="16" s="1"/>
  <c r="A309" i="16" s="1"/>
  <c r="A310" i="16" s="1"/>
  <c r="I309" i="16"/>
  <c r="I310" i="16"/>
  <c r="A302" i="9"/>
  <c r="A311" i="16" s="1"/>
  <c r="A312" i="16" s="1"/>
  <c r="A313" i="16" s="1"/>
  <c r="I312" i="16"/>
  <c r="I313" i="16"/>
  <c r="A305" i="9"/>
  <c r="A314" i="16" s="1"/>
  <c r="A315" i="16" s="1"/>
  <c r="A316" i="16" s="1"/>
  <c r="I315" i="16"/>
  <c r="I316" i="16"/>
  <c r="A308" i="9"/>
  <c r="A317" i="16"/>
  <c r="A318" i="16" s="1"/>
  <c r="A319" i="16" s="1"/>
  <c r="I318" i="16"/>
  <c r="I319" i="16"/>
  <c r="A311" i="9"/>
  <c r="A320" i="16" s="1"/>
  <c r="A321" i="16" s="1"/>
  <c r="A322" i="16" s="1"/>
  <c r="I321" i="16"/>
  <c r="I322" i="16"/>
  <c r="A314" i="9"/>
  <c r="A323" i="16" s="1"/>
  <c r="A324" i="16" s="1"/>
  <c r="A325" i="16" s="1"/>
  <c r="B323" i="16"/>
  <c r="I324" i="16"/>
  <c r="I325" i="16"/>
  <c r="A317" i="9"/>
  <c r="A326" i="16"/>
  <c r="A327" i="16" s="1"/>
  <c r="A328" i="16" s="1"/>
  <c r="I327" i="16"/>
  <c r="I328" i="16"/>
  <c r="A166" i="9"/>
  <c r="A175" i="16" s="1"/>
  <c r="A176" i="16" s="1"/>
  <c r="A177" i="16" s="1"/>
  <c r="B166" i="9"/>
  <c r="B272" i="9" s="1"/>
  <c r="B378" i="9" s="1"/>
  <c r="B175" i="16"/>
  <c r="I176" i="16"/>
  <c r="I177" i="16"/>
  <c r="A169" i="9"/>
  <c r="A178" i="16"/>
  <c r="A179" i="16" s="1"/>
  <c r="A180" i="16" s="1"/>
  <c r="B178" i="16"/>
  <c r="I179" i="16"/>
  <c r="I180" i="16"/>
  <c r="A172" i="9"/>
  <c r="A181" i="16" s="1"/>
  <c r="A182" i="16" s="1"/>
  <c r="A183" i="16" s="1"/>
  <c r="I182" i="16"/>
  <c r="I183" i="16"/>
  <c r="A175" i="9"/>
  <c r="A184" i="16" s="1"/>
  <c r="A185" i="16" s="1"/>
  <c r="A186" i="16" s="1"/>
  <c r="I185" i="16"/>
  <c r="I186" i="16"/>
  <c r="A178" i="9"/>
  <c r="A187" i="16" s="1"/>
  <c r="A188" i="16" s="1"/>
  <c r="A189" i="16" s="1"/>
  <c r="B187" i="16"/>
  <c r="I188" i="16"/>
  <c r="I189" i="16"/>
  <c r="A181" i="9"/>
  <c r="A190" i="16"/>
  <c r="B190" i="16"/>
  <c r="A191" i="16"/>
  <c r="A192" i="16" s="1"/>
  <c r="I191" i="16"/>
  <c r="I192" i="16"/>
  <c r="A184" i="9"/>
  <c r="A193" i="16" s="1"/>
  <c r="A194" i="16" s="1"/>
  <c r="A195" i="16" s="1"/>
  <c r="B193" i="16"/>
  <c r="I194" i="16"/>
  <c r="I195" i="16"/>
  <c r="A187" i="9"/>
  <c r="A196" i="16" s="1"/>
  <c r="A197" i="16" s="1"/>
  <c r="A198" i="16" s="1"/>
  <c r="B196" i="16"/>
  <c r="I197" i="16"/>
  <c r="I198" i="16"/>
  <c r="A190" i="9"/>
  <c r="A199" i="16"/>
  <c r="A200" i="16" s="1"/>
  <c r="A201" i="16" s="1"/>
  <c r="I200" i="16"/>
  <c r="I201" i="16"/>
  <c r="A193" i="9"/>
  <c r="A202" i="16" s="1"/>
  <c r="A203" i="16" s="1"/>
  <c r="A204" i="16" s="1"/>
  <c r="B202" i="16"/>
  <c r="I203" i="16"/>
  <c r="I204" i="16"/>
  <c r="A196" i="9"/>
  <c r="A205" i="16" s="1"/>
  <c r="A206" i="16" s="1"/>
  <c r="A207" i="16" s="1"/>
  <c r="I206" i="16"/>
  <c r="I207" i="16"/>
  <c r="A199" i="9"/>
  <c r="A208" i="16" s="1"/>
  <c r="A209" i="16" s="1"/>
  <c r="A210" i="16" s="1"/>
  <c r="I209" i="16"/>
  <c r="I210" i="16"/>
  <c r="A202" i="9"/>
  <c r="A211" i="16" s="1"/>
  <c r="A212" i="16" s="1"/>
  <c r="A213" i="16" s="1"/>
  <c r="B211" i="16"/>
  <c r="I212" i="16"/>
  <c r="I213" i="16"/>
  <c r="A205" i="9"/>
  <c r="A214" i="16"/>
  <c r="B214" i="16"/>
  <c r="A215" i="16"/>
  <c r="A216" i="16" s="1"/>
  <c r="I215" i="16"/>
  <c r="I216" i="16"/>
  <c r="A208" i="9"/>
  <c r="A217" i="16" s="1"/>
  <c r="A218" i="16" s="1"/>
  <c r="A219" i="16" s="1"/>
  <c r="B217" i="16"/>
  <c r="I218" i="16"/>
  <c r="I219" i="16"/>
  <c r="A211" i="9"/>
  <c r="A220" i="16" s="1"/>
  <c r="A221" i="16" s="1"/>
  <c r="A222" i="16" s="1"/>
  <c r="B220" i="16"/>
  <c r="I221" i="16"/>
  <c r="I222" i="16"/>
  <c r="A63" i="9"/>
  <c r="A72" i="16"/>
  <c r="A73" i="16" s="1"/>
  <c r="A74" i="16" s="1"/>
  <c r="B72" i="16"/>
  <c r="A66" i="9"/>
  <c r="A75" i="16" s="1"/>
  <c r="A76" i="16" s="1"/>
  <c r="A77" i="16" s="1"/>
  <c r="B75" i="16"/>
  <c r="A69" i="9"/>
  <c r="A78" i="16" s="1"/>
  <c r="A79" i="16" s="1"/>
  <c r="A80" i="16" s="1"/>
  <c r="B78" i="16"/>
  <c r="A72" i="9"/>
  <c r="A81" i="16" s="1"/>
  <c r="B81" i="16"/>
  <c r="A82" i="16"/>
  <c r="A83" i="16" s="1"/>
  <c r="A75" i="9"/>
  <c r="A84" i="16" s="1"/>
  <c r="A85" i="16" s="1"/>
  <c r="A86" i="16" s="1"/>
  <c r="B84" i="16"/>
  <c r="A78" i="9"/>
  <c r="A87" i="16" s="1"/>
  <c r="A88" i="16" s="1"/>
  <c r="A89" i="16" s="1"/>
  <c r="B87" i="16"/>
  <c r="A81" i="9"/>
  <c r="A90" i="16" s="1"/>
  <c r="A91" i="16" s="1"/>
  <c r="A92" i="16" s="1"/>
  <c r="B90" i="16"/>
  <c r="A84" i="9"/>
  <c r="A93" i="16"/>
  <c r="A94" i="16" s="1"/>
  <c r="A95" i="16" s="1"/>
  <c r="B93" i="16"/>
  <c r="A87" i="9"/>
  <c r="A96" i="16"/>
  <c r="A97" i="16" s="1"/>
  <c r="A98" i="16" s="1"/>
  <c r="B96" i="16"/>
  <c r="A90" i="9"/>
  <c r="A99" i="16" s="1"/>
  <c r="A100" i="16" s="1"/>
  <c r="A101" i="16" s="1"/>
  <c r="B99" i="16"/>
  <c r="A93" i="9"/>
  <c r="A102" i="16" s="1"/>
  <c r="A103" i="16" s="1"/>
  <c r="A104" i="16" s="1"/>
  <c r="B102" i="16"/>
  <c r="A96" i="9"/>
  <c r="A105" i="16"/>
  <c r="A106" i="16" s="1"/>
  <c r="A107" i="16" s="1"/>
  <c r="B105" i="16"/>
  <c r="A99" i="9"/>
  <c r="A108" i="16"/>
  <c r="A109" i="16" s="1"/>
  <c r="A110" i="16" s="1"/>
  <c r="B108" i="16"/>
  <c r="A102" i="9"/>
  <c r="A111" i="16" s="1"/>
  <c r="A112" i="16" s="1"/>
  <c r="A113" i="16" s="1"/>
  <c r="B111" i="16"/>
  <c r="A105" i="9"/>
  <c r="A114" i="16" s="1"/>
  <c r="A115" i="16" s="1"/>
  <c r="A116" i="16" s="1"/>
  <c r="B114" i="16"/>
  <c r="F14" i="24"/>
  <c r="G14" i="24"/>
  <c r="G15" i="24"/>
  <c r="G16" i="24"/>
  <c r="G17" i="24"/>
  <c r="G18" i="24"/>
  <c r="G19" i="24"/>
  <c r="G20" i="24"/>
  <c r="G21" i="24"/>
  <c r="G22" i="24"/>
  <c r="G23" i="24"/>
  <c r="G24" i="24"/>
  <c r="G25" i="24"/>
  <c r="G26" i="24"/>
  <c r="G27" i="24"/>
  <c r="G28" i="24"/>
  <c r="G29" i="24"/>
  <c r="F15" i="24"/>
  <c r="F16" i="24"/>
  <c r="F17" i="24"/>
  <c r="F18" i="24"/>
  <c r="F19" i="24"/>
  <c r="F20" i="24"/>
  <c r="F21" i="24"/>
  <c r="F22" i="24"/>
  <c r="F23" i="24"/>
  <c r="F24" i="24"/>
  <c r="F25" i="24"/>
  <c r="F26" i="24"/>
  <c r="F27" i="24"/>
  <c r="F28" i="24"/>
  <c r="F29" i="24"/>
  <c r="T14" i="24"/>
  <c r="U14" i="24"/>
  <c r="U15" i="24"/>
  <c r="U16" i="24"/>
  <c r="U17" i="24"/>
  <c r="U18" i="24"/>
  <c r="W18" i="24" s="1"/>
  <c r="U19" i="24"/>
  <c r="U20" i="24"/>
  <c r="U21" i="24"/>
  <c r="U22" i="24"/>
  <c r="U23" i="24"/>
  <c r="U24" i="24"/>
  <c r="U25" i="24"/>
  <c r="X25" i="24" s="1"/>
  <c r="U26" i="24"/>
  <c r="W26" i="24" s="1"/>
  <c r="U27" i="24"/>
  <c r="X27" i="24" s="1"/>
  <c r="U28" i="24"/>
  <c r="W28" i="24" s="1"/>
  <c r="T15" i="24"/>
  <c r="T16" i="24"/>
  <c r="T17" i="24"/>
  <c r="T18" i="24"/>
  <c r="T19" i="24"/>
  <c r="T20" i="24"/>
  <c r="T21" i="24"/>
  <c r="T22" i="24"/>
  <c r="T23" i="24"/>
  <c r="T24" i="24"/>
  <c r="T25" i="24"/>
  <c r="T26" i="24"/>
  <c r="T27" i="24"/>
  <c r="T28" i="24"/>
  <c r="AK26" i="24"/>
  <c r="AL26" i="24"/>
  <c r="F30" i="24"/>
  <c r="F31" i="24"/>
  <c r="F32" i="24"/>
  <c r="G30" i="24"/>
  <c r="J30" i="24" s="1"/>
  <c r="G31" i="24"/>
  <c r="I31" i="24" s="1"/>
  <c r="G32" i="24"/>
  <c r="I32" i="24" s="1"/>
  <c r="G33" i="24"/>
  <c r="G34" i="24"/>
  <c r="J34" i="24" s="1"/>
  <c r="G35" i="24"/>
  <c r="I35" i="24" s="1"/>
  <c r="G36" i="24"/>
  <c r="I36" i="24" s="1"/>
  <c r="G37" i="24"/>
  <c r="G38" i="24"/>
  <c r="J38" i="24" s="1"/>
  <c r="G39" i="24"/>
  <c r="I39" i="24" s="1"/>
  <c r="G40" i="24"/>
  <c r="I40" i="24" s="1"/>
  <c r="G41" i="24"/>
  <c r="G42" i="24"/>
  <c r="J42" i="24" s="1"/>
  <c r="G43" i="24"/>
  <c r="I43" i="24" s="1"/>
  <c r="G44" i="24"/>
  <c r="I44" i="24" s="1"/>
  <c r="G45" i="24"/>
  <c r="G46" i="24"/>
  <c r="J46" i="24" s="1"/>
  <c r="G47" i="24"/>
  <c r="J47" i="24" s="1"/>
  <c r="G48" i="24"/>
  <c r="I48" i="24" s="1"/>
  <c r="G49" i="24"/>
  <c r="G50" i="24"/>
  <c r="J50" i="24" s="1"/>
  <c r="G51" i="24"/>
  <c r="J51" i="24" s="1"/>
  <c r="G52" i="24"/>
  <c r="I52" i="24" s="1"/>
  <c r="G53" i="24"/>
  <c r="G54" i="24"/>
  <c r="J54" i="24" s="1"/>
  <c r="G55" i="24"/>
  <c r="I55" i="24" s="1"/>
  <c r="G56" i="24"/>
  <c r="I56" i="24" s="1"/>
  <c r="G57" i="24"/>
  <c r="G58" i="24"/>
  <c r="J58" i="24" s="1"/>
  <c r="G59" i="24"/>
  <c r="I59" i="24" s="1"/>
  <c r="G60" i="24"/>
  <c r="I60" i="24" s="1"/>
  <c r="G61" i="24"/>
  <c r="G62" i="24"/>
  <c r="J62" i="24" s="1"/>
  <c r="G63" i="24"/>
  <c r="I63" i="24" s="1"/>
  <c r="AK25" i="24"/>
  <c r="AL25" i="24"/>
  <c r="AK24" i="24"/>
  <c r="AL24" i="24"/>
  <c r="AK23" i="24"/>
  <c r="AL23" i="24"/>
  <c r="AK22" i="24"/>
  <c r="AL22" i="24"/>
  <c r="AK21" i="24"/>
  <c r="AL21" i="24"/>
  <c r="AK20" i="24"/>
  <c r="AL20" i="24"/>
  <c r="AK19" i="24"/>
  <c r="AL19" i="24"/>
  <c r="AK18" i="24"/>
  <c r="AL18" i="24"/>
  <c r="AK17" i="24"/>
  <c r="AL17" i="24"/>
  <c r="AK16" i="24"/>
  <c r="AL16" i="24"/>
  <c r="AK15" i="24"/>
  <c r="AL15" i="24"/>
  <c r="AK14" i="24"/>
  <c r="AL14" i="24"/>
  <c r="B71" i="23"/>
  <c r="A71" i="23"/>
  <c r="B70" i="23"/>
  <c r="A70" i="23"/>
  <c r="B69" i="23"/>
  <c r="A69" i="23"/>
  <c r="B68" i="23"/>
  <c r="A68" i="23"/>
  <c r="B67" i="23"/>
  <c r="A67" i="23"/>
  <c r="B66" i="23"/>
  <c r="A66" i="23"/>
  <c r="B65" i="23"/>
  <c r="A65" i="23"/>
  <c r="B64" i="23"/>
  <c r="A64" i="23"/>
  <c r="B63" i="23"/>
  <c r="A63" i="23"/>
  <c r="B62" i="23"/>
  <c r="A62" i="23"/>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Z227" i="8"/>
  <c r="Z226" i="8"/>
  <c r="Z225" i="8"/>
  <c r="Z224" i="8"/>
  <c r="Z223" i="8"/>
  <c r="Z222" i="8"/>
  <c r="Z221" i="8"/>
  <c r="Z220" i="8"/>
  <c r="Z219" i="8"/>
  <c r="Z218" i="8"/>
  <c r="Z217" i="8"/>
  <c r="Z216" i="8"/>
  <c r="Z215" i="8"/>
  <c r="Z214" i="8"/>
  <c r="Z213" i="8"/>
  <c r="Z205" i="8"/>
  <c r="Z204" i="8"/>
  <c r="Z192" i="8"/>
  <c r="Z193" i="8"/>
  <c r="Z194" i="8"/>
  <c r="Z212" i="8"/>
  <c r="Z211" i="8"/>
  <c r="Z210" i="8"/>
  <c r="Z155" i="8"/>
  <c r="Z154" i="8"/>
  <c r="Z149" i="8"/>
  <c r="Z148" i="8"/>
  <c r="Z147" i="8"/>
  <c r="Z146" i="8"/>
  <c r="Z145" i="8"/>
  <c r="Z144" i="8"/>
  <c r="Z143" i="8"/>
  <c r="Z142" i="8"/>
  <c r="Z141" i="8"/>
  <c r="Z140" i="8"/>
  <c r="Z139" i="8"/>
  <c r="Z138" i="8"/>
  <c r="Z137" i="8"/>
  <c r="Z136" i="8"/>
  <c r="Z135" i="8"/>
  <c r="Z134" i="8"/>
  <c r="Z133" i="8"/>
  <c r="Z132" i="8"/>
  <c r="Z209" i="8"/>
  <c r="Z208" i="8"/>
  <c r="Z207" i="8"/>
  <c r="Z206" i="8"/>
  <c r="Z203" i="8"/>
  <c r="Z202" i="8"/>
  <c r="Z200" i="8"/>
  <c r="Z199" i="8"/>
  <c r="Z198" i="8"/>
  <c r="Z197" i="8"/>
  <c r="Z196" i="8"/>
  <c r="Z195"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3" i="8"/>
  <c r="Z152" i="8"/>
  <c r="Z151" i="8"/>
  <c r="Z131" i="8"/>
  <c r="Z130" i="8"/>
  <c r="Z129" i="8"/>
  <c r="A83" i="8"/>
  <c r="Z128" i="8"/>
  <c r="Z127" i="8"/>
  <c r="Z126" i="8"/>
  <c r="A80" i="8"/>
  <c r="A95" i="8"/>
  <c r="B160" i="9"/>
  <c r="B266" i="9"/>
  <c r="B372" i="9" s="1"/>
  <c r="B154" i="9"/>
  <c r="B260" i="9"/>
  <c r="B269" i="16" s="1"/>
  <c r="B148" i="9"/>
  <c r="B254" i="9"/>
  <c r="B360" i="9"/>
  <c r="B142" i="9"/>
  <c r="B248" i="9" s="1"/>
  <c r="B136" i="9"/>
  <c r="B145" i="16" s="1"/>
  <c r="B242" i="9"/>
  <c r="B348" i="9" s="1"/>
  <c r="B357" i="16" s="1"/>
  <c r="B130" i="9"/>
  <c r="B236" i="9" s="1"/>
  <c r="B124" i="9"/>
  <c r="B230" i="9"/>
  <c r="B118" i="9"/>
  <c r="B224" i="9" s="1"/>
  <c r="B112" i="9"/>
  <c r="B109" i="9"/>
  <c r="B215" i="9" s="1"/>
  <c r="B115" i="9"/>
  <c r="B221" i="9" s="1"/>
  <c r="B163" i="9"/>
  <c r="B157" i="9"/>
  <c r="B151" i="9"/>
  <c r="B257" i="9" s="1"/>
  <c r="B363" i="9" s="1"/>
  <c r="B145" i="9"/>
  <c r="B139" i="9"/>
  <c r="B133" i="9"/>
  <c r="B127" i="9"/>
  <c r="B121" i="9"/>
  <c r="AM65" i="9"/>
  <c r="AM66" i="9"/>
  <c r="AK65" i="9"/>
  <c r="A226" i="8"/>
  <c r="A223" i="8"/>
  <c r="A220" i="8"/>
  <c r="A217" i="8"/>
  <c r="A214" i="8"/>
  <c r="A211" i="8"/>
  <c r="A208" i="8"/>
  <c r="A205" i="8"/>
  <c r="A199" i="8"/>
  <c r="A196" i="8"/>
  <c r="A193" i="8"/>
  <c r="A190" i="8"/>
  <c r="A187" i="8"/>
  <c r="A184" i="8"/>
  <c r="A181" i="8"/>
  <c r="A178" i="8"/>
  <c r="A175" i="8"/>
  <c r="A172" i="8"/>
  <c r="A169" i="8"/>
  <c r="A166" i="8"/>
  <c r="A163" i="8"/>
  <c r="A160" i="8"/>
  <c r="A157" i="8"/>
  <c r="A154" i="8"/>
  <c r="A148" i="8"/>
  <c r="A145" i="8"/>
  <c r="A142" i="8"/>
  <c r="A139" i="8"/>
  <c r="A136" i="8"/>
  <c r="A133" i="8"/>
  <c r="A213" i="9"/>
  <c r="A212" i="9"/>
  <c r="A210" i="9"/>
  <c r="A209" i="9"/>
  <c r="A207" i="9"/>
  <c r="A206" i="9"/>
  <c r="A204" i="9"/>
  <c r="A203" i="9"/>
  <c r="A201" i="9"/>
  <c r="A200" i="9"/>
  <c r="A198" i="9"/>
  <c r="A197" i="9"/>
  <c r="A195" i="9"/>
  <c r="A194" i="9"/>
  <c r="A192" i="9"/>
  <c r="A191" i="9"/>
  <c r="A189" i="9"/>
  <c r="A188" i="9"/>
  <c r="A186" i="9"/>
  <c r="A185" i="9"/>
  <c r="A183" i="9"/>
  <c r="A182" i="9"/>
  <c r="A180" i="9"/>
  <c r="A179" i="9"/>
  <c r="A177" i="9"/>
  <c r="A176" i="9"/>
  <c r="A174" i="9"/>
  <c r="A173" i="9"/>
  <c r="A171" i="9"/>
  <c r="A170" i="9"/>
  <c r="A319" i="9"/>
  <c r="A318" i="9"/>
  <c r="A316" i="9"/>
  <c r="A315" i="9"/>
  <c r="A313" i="9"/>
  <c r="A312" i="9"/>
  <c r="A310" i="9"/>
  <c r="A309" i="9"/>
  <c r="A307" i="9"/>
  <c r="A306" i="9"/>
  <c r="A304" i="9"/>
  <c r="A303" i="9"/>
  <c r="A301" i="9"/>
  <c r="A300" i="9"/>
  <c r="A298" i="9"/>
  <c r="A297" i="9"/>
  <c r="A295" i="9"/>
  <c r="A294" i="9"/>
  <c r="A292" i="9"/>
  <c r="A291" i="9"/>
  <c r="A289" i="9"/>
  <c r="A288" i="9"/>
  <c r="A286" i="9"/>
  <c r="A285" i="9"/>
  <c r="A283" i="9"/>
  <c r="A282" i="9"/>
  <c r="A280" i="9"/>
  <c r="A279" i="9"/>
  <c r="A277" i="9"/>
  <c r="A276" i="9"/>
  <c r="A425" i="9"/>
  <c r="A424" i="9"/>
  <c r="A422" i="9"/>
  <c r="A421" i="9"/>
  <c r="A419" i="9"/>
  <c r="A418" i="9"/>
  <c r="A416" i="9"/>
  <c r="A415" i="9"/>
  <c r="A413" i="9"/>
  <c r="A412" i="9"/>
  <c r="A410" i="9"/>
  <c r="A409" i="9"/>
  <c r="A407" i="9"/>
  <c r="A406" i="9"/>
  <c r="A404" i="9"/>
  <c r="A403" i="9"/>
  <c r="A401" i="9"/>
  <c r="A400" i="9"/>
  <c r="A398" i="9"/>
  <c r="A397" i="9"/>
  <c r="A395" i="9"/>
  <c r="A394" i="9"/>
  <c r="A392" i="9"/>
  <c r="A391" i="9"/>
  <c r="A389" i="9"/>
  <c r="A388" i="9"/>
  <c r="A386" i="9"/>
  <c r="A385" i="9"/>
  <c r="A383" i="9"/>
  <c r="A382" i="9"/>
  <c r="A321" i="9"/>
  <c r="A322" i="9"/>
  <c r="A323" i="9"/>
  <c r="A324" i="9"/>
  <c r="A333" i="16" s="1"/>
  <c r="A334" i="16" s="1"/>
  <c r="A335" i="16" s="1"/>
  <c r="A325" i="9"/>
  <c r="A326" i="9"/>
  <c r="A327" i="9"/>
  <c r="A328" i="9"/>
  <c r="A329" i="9"/>
  <c r="A330" i="9"/>
  <c r="A331" i="9"/>
  <c r="A332" i="9"/>
  <c r="A333" i="9"/>
  <c r="B227" i="9"/>
  <c r="B333" i="9" s="1"/>
  <c r="B342" i="16" s="1"/>
  <c r="A334" i="9"/>
  <c r="A215" i="9"/>
  <c r="A216" i="9"/>
  <c r="A217" i="9"/>
  <c r="A218" i="9"/>
  <c r="A227" i="16" s="1"/>
  <c r="A228" i="16" s="1"/>
  <c r="A229" i="16" s="1"/>
  <c r="A219" i="9"/>
  <c r="A220" i="9"/>
  <c r="A221" i="9"/>
  <c r="A222" i="9"/>
  <c r="A223" i="9"/>
  <c r="A224" i="9"/>
  <c r="A225" i="9"/>
  <c r="A226" i="9"/>
  <c r="A227" i="9"/>
  <c r="A228" i="9"/>
  <c r="A107" i="9"/>
  <c r="A106" i="9"/>
  <c r="A104" i="9"/>
  <c r="A103" i="9"/>
  <c r="A101" i="9"/>
  <c r="A100" i="9"/>
  <c r="A98" i="9"/>
  <c r="A65" i="9"/>
  <c r="A68" i="9"/>
  <c r="A71" i="9"/>
  <c r="A74" i="9"/>
  <c r="A77" i="9"/>
  <c r="A80" i="9"/>
  <c r="A83" i="9"/>
  <c r="A86" i="9"/>
  <c r="A89" i="9"/>
  <c r="A92" i="9"/>
  <c r="A97" i="9"/>
  <c r="A95" i="9"/>
  <c r="A94" i="9"/>
  <c r="A91" i="9"/>
  <c r="A88" i="9"/>
  <c r="A85" i="9"/>
  <c r="A82" i="9"/>
  <c r="A79" i="9"/>
  <c r="A76" i="9"/>
  <c r="A73" i="9"/>
  <c r="A70" i="9"/>
  <c r="A67" i="9"/>
  <c r="A64" i="9"/>
  <c r="A87" i="7"/>
  <c r="A86" i="7"/>
  <c r="A85" i="7"/>
  <c r="A84" i="7"/>
  <c r="A83" i="7"/>
  <c r="A82" i="7"/>
  <c r="A81" i="7"/>
  <c r="A80" i="7"/>
  <c r="A79" i="7"/>
  <c r="A78" i="7"/>
  <c r="A77" i="7"/>
  <c r="A76" i="7"/>
  <c r="A75" i="7"/>
  <c r="A74" i="7"/>
  <c r="A73" i="7"/>
  <c r="A72" i="7"/>
  <c r="A71" i="7"/>
  <c r="A70" i="7"/>
  <c r="A69" i="7"/>
  <c r="A68" i="7"/>
  <c r="A67" i="7"/>
  <c r="A66" i="7"/>
  <c r="A65" i="7"/>
  <c r="A60" i="7"/>
  <c r="A59" i="7"/>
  <c r="A58" i="7"/>
  <c r="A57" i="7"/>
  <c r="A56" i="7"/>
  <c r="A55" i="7"/>
  <c r="A54" i="7"/>
  <c r="A64" i="7"/>
  <c r="T44" i="24"/>
  <c r="U44" i="24"/>
  <c r="X44" i="24" s="1"/>
  <c r="T45" i="24"/>
  <c r="U45" i="24"/>
  <c r="W45" i="24" s="1"/>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34" i="24"/>
  <c r="T29" i="24"/>
  <c r="T30" i="24"/>
  <c r="T31" i="24"/>
  <c r="T32" i="24"/>
  <c r="T33" i="24"/>
  <c r="T34" i="24"/>
  <c r="T35" i="24"/>
  <c r="T36" i="24"/>
  <c r="T37" i="24"/>
  <c r="T38" i="24"/>
  <c r="T39" i="24"/>
  <c r="T40" i="24"/>
  <c r="T41" i="24"/>
  <c r="T42" i="24"/>
  <c r="F33" i="24"/>
  <c r="T63" i="24"/>
  <c r="T62" i="24"/>
  <c r="T61" i="24"/>
  <c r="T60" i="24"/>
  <c r="T59" i="24"/>
  <c r="T58" i="24"/>
  <c r="T57" i="24"/>
  <c r="T56" i="24"/>
  <c r="T55" i="24"/>
  <c r="T54" i="24"/>
  <c r="T53" i="24"/>
  <c r="T52" i="24"/>
  <c r="T51" i="24"/>
  <c r="T50" i="24"/>
  <c r="T49" i="24"/>
  <c r="T48" i="24"/>
  <c r="T47" i="24"/>
  <c r="T46" i="24"/>
  <c r="T43" i="24"/>
  <c r="U63" i="24"/>
  <c r="X63" i="24" s="1"/>
  <c r="U62" i="24"/>
  <c r="U61" i="24"/>
  <c r="X61" i="24" s="1"/>
  <c r="U60" i="24"/>
  <c r="W60" i="24" s="1"/>
  <c r="U59" i="24"/>
  <c r="X59" i="24" s="1"/>
  <c r="U58" i="24"/>
  <c r="U57" i="24"/>
  <c r="X57" i="24" s="1"/>
  <c r="U56" i="24"/>
  <c r="W56" i="24" s="1"/>
  <c r="U55" i="24"/>
  <c r="X55" i="24" s="1"/>
  <c r="U54" i="24"/>
  <c r="U53" i="24"/>
  <c r="W53" i="24" s="1"/>
  <c r="U52" i="24"/>
  <c r="W52" i="24" s="1"/>
  <c r="U51" i="24"/>
  <c r="X51" i="24" s="1"/>
  <c r="U50" i="24"/>
  <c r="U49" i="24"/>
  <c r="W49" i="24" s="1"/>
  <c r="U48" i="24"/>
  <c r="X48" i="24" s="1"/>
  <c r="U47" i="24"/>
  <c r="X47" i="24" s="1"/>
  <c r="U46" i="24"/>
  <c r="U43" i="24"/>
  <c r="X43" i="24" s="1"/>
  <c r="U42" i="24"/>
  <c r="W42" i="24" s="1"/>
  <c r="U41" i="24"/>
  <c r="W41" i="24" s="1"/>
  <c r="U40" i="24"/>
  <c r="W40" i="24" s="1"/>
  <c r="U39" i="24"/>
  <c r="X39" i="24" s="1"/>
  <c r="U38" i="24"/>
  <c r="W38" i="24" s="1"/>
  <c r="U37" i="24"/>
  <c r="W37" i="24" s="1"/>
  <c r="U36" i="24"/>
  <c r="X36" i="24" s="1"/>
  <c r="U35" i="24"/>
  <c r="X35" i="24" s="1"/>
  <c r="U34" i="24"/>
  <c r="W34" i="24" s="1"/>
  <c r="U33" i="24"/>
  <c r="W33" i="24" s="1"/>
  <c r="U32" i="24"/>
  <c r="W32" i="24" s="1"/>
  <c r="U31" i="24"/>
  <c r="X31" i="24" s="1"/>
  <c r="U30" i="24"/>
  <c r="W30" i="24" s="1"/>
  <c r="U29" i="24"/>
  <c r="W29" i="24" s="1"/>
  <c r="Z233" i="8"/>
  <c r="B237" i="8"/>
  <c r="Z237" i="8"/>
  <c r="Z238" i="8"/>
  <c r="Z240" i="8"/>
  <c r="C13" i="17"/>
  <c r="D52" i="17"/>
  <c r="G151" i="17"/>
  <c r="G194" i="17"/>
  <c r="D113" i="17"/>
  <c r="D190" i="17"/>
  <c r="D156" i="17"/>
  <c r="F288" i="17"/>
  <c r="C297" i="17"/>
  <c r="D248" i="17"/>
  <c r="D250" i="17"/>
  <c r="D291" i="17"/>
  <c r="D292" i="17"/>
  <c r="D258" i="17"/>
  <c r="D299" i="17"/>
  <c r="C391" i="17"/>
  <c r="D352" i="17"/>
  <c r="D323" i="17"/>
  <c r="B269" i="9"/>
  <c r="B375" i="9" s="1"/>
  <c r="B384" i="16"/>
  <c r="B381" i="16"/>
  <c r="B263" i="16"/>
  <c r="B251" i="9"/>
  <c r="B260" i="16" s="1"/>
  <c r="B245" i="9"/>
  <c r="B254" i="16" s="1"/>
  <c r="B233" i="9"/>
  <c r="B339" i="9" s="1"/>
  <c r="B348" i="16" s="1"/>
  <c r="I389" i="16"/>
  <c r="I388" i="16"/>
  <c r="I386" i="16"/>
  <c r="I385" i="16"/>
  <c r="I383" i="16"/>
  <c r="I382" i="16"/>
  <c r="I380" i="16"/>
  <c r="I379" i="16"/>
  <c r="I377" i="16"/>
  <c r="I376" i="16"/>
  <c r="I374" i="16"/>
  <c r="I373" i="16"/>
  <c r="I371" i="16"/>
  <c r="I370" i="16"/>
  <c r="I368" i="16"/>
  <c r="I367" i="16"/>
  <c r="I365" i="16"/>
  <c r="I364" i="16"/>
  <c r="I362" i="16"/>
  <c r="I361" i="16"/>
  <c r="I359" i="16"/>
  <c r="I358" i="16"/>
  <c r="I356" i="16"/>
  <c r="I355" i="16"/>
  <c r="I353" i="16"/>
  <c r="I352" i="16"/>
  <c r="I350" i="16"/>
  <c r="I349" i="16"/>
  <c r="I347" i="16"/>
  <c r="I346" i="16"/>
  <c r="I344" i="16"/>
  <c r="I343" i="16"/>
  <c r="I341" i="16"/>
  <c r="I340" i="16"/>
  <c r="I338" i="16"/>
  <c r="I337" i="16"/>
  <c r="I335" i="16"/>
  <c r="I334" i="16"/>
  <c r="I332" i="16"/>
  <c r="I331" i="16"/>
  <c r="H317" i="17"/>
  <c r="I317" i="17"/>
  <c r="I283" i="16"/>
  <c r="I282" i="16"/>
  <c r="I280" i="16"/>
  <c r="I279" i="16"/>
  <c r="I277" i="16"/>
  <c r="I276" i="16"/>
  <c r="I274" i="16"/>
  <c r="I273" i="16"/>
  <c r="I271" i="16"/>
  <c r="I270" i="16"/>
  <c r="I268" i="16"/>
  <c r="I267" i="16"/>
  <c r="I265" i="16"/>
  <c r="I264" i="16"/>
  <c r="I262" i="16"/>
  <c r="I261" i="16"/>
  <c r="I259" i="16"/>
  <c r="I258" i="16"/>
  <c r="I256" i="16"/>
  <c r="I255" i="16"/>
  <c r="I253" i="16"/>
  <c r="I252" i="16"/>
  <c r="I250" i="16"/>
  <c r="I249" i="16"/>
  <c r="I247" i="16"/>
  <c r="I246" i="16"/>
  <c r="I244" i="16"/>
  <c r="I243" i="16"/>
  <c r="I241" i="16"/>
  <c r="I240" i="16"/>
  <c r="I238" i="16"/>
  <c r="I237" i="16"/>
  <c r="I235" i="16"/>
  <c r="I234" i="16"/>
  <c r="I232" i="16"/>
  <c r="I231" i="16"/>
  <c r="I229" i="16"/>
  <c r="I228" i="16"/>
  <c r="I226" i="16"/>
  <c r="I225" i="16"/>
  <c r="I174" i="16"/>
  <c r="I173" i="16"/>
  <c r="I171" i="16"/>
  <c r="I170" i="16"/>
  <c r="I168" i="16"/>
  <c r="I167" i="16"/>
  <c r="I165" i="16"/>
  <c r="I164" i="16"/>
  <c r="I162" i="16"/>
  <c r="I161" i="16"/>
  <c r="I159" i="16"/>
  <c r="I158" i="16"/>
  <c r="I156" i="16"/>
  <c r="I155" i="16"/>
  <c r="I329" i="16"/>
  <c r="I223" i="16"/>
  <c r="I117" i="16"/>
  <c r="M389" i="16"/>
  <c r="M388" i="16"/>
  <c r="M386" i="16"/>
  <c r="M385" i="16"/>
  <c r="M383" i="16"/>
  <c r="M382" i="16"/>
  <c r="M380" i="16"/>
  <c r="M379" i="16"/>
  <c r="M377" i="16"/>
  <c r="M376" i="16"/>
  <c r="M374" i="16"/>
  <c r="M373" i="16"/>
  <c r="M371" i="16"/>
  <c r="M370" i="16"/>
  <c r="M368" i="16"/>
  <c r="M367" i="16"/>
  <c r="M365" i="16"/>
  <c r="M364" i="16"/>
  <c r="M362" i="16"/>
  <c r="M361" i="16"/>
  <c r="M359" i="16"/>
  <c r="M358" i="16"/>
  <c r="M356" i="16"/>
  <c r="M355" i="16"/>
  <c r="M353" i="16"/>
  <c r="M352" i="16"/>
  <c r="M350" i="16"/>
  <c r="M349" i="16"/>
  <c r="M347" i="16"/>
  <c r="M346" i="16"/>
  <c r="M344" i="16"/>
  <c r="M343" i="16"/>
  <c r="M341" i="16"/>
  <c r="M340" i="16"/>
  <c r="M338" i="16"/>
  <c r="M337" i="16"/>
  <c r="M335" i="16"/>
  <c r="M334" i="16"/>
  <c r="M332" i="16"/>
  <c r="M331" i="16"/>
  <c r="M330" i="16"/>
  <c r="O330" i="16"/>
  <c r="J317" i="17"/>
  <c r="M329" i="16"/>
  <c r="M283" i="16"/>
  <c r="M282" i="16"/>
  <c r="M280" i="16"/>
  <c r="M279" i="16"/>
  <c r="M277" i="16"/>
  <c r="M276" i="16"/>
  <c r="M274" i="16"/>
  <c r="M273" i="16"/>
  <c r="M271" i="16"/>
  <c r="M270" i="16"/>
  <c r="M268" i="16"/>
  <c r="M267" i="16"/>
  <c r="M265" i="16"/>
  <c r="M264" i="16"/>
  <c r="M262" i="16"/>
  <c r="M261" i="16"/>
  <c r="M259" i="16"/>
  <c r="M258" i="16"/>
  <c r="M256" i="16"/>
  <c r="M255" i="16"/>
  <c r="M253" i="16"/>
  <c r="M252" i="16"/>
  <c r="M250" i="16"/>
  <c r="M249" i="16"/>
  <c r="M247" i="16"/>
  <c r="M246" i="16"/>
  <c r="M244" i="16"/>
  <c r="M243" i="16"/>
  <c r="M241" i="16"/>
  <c r="M240" i="16"/>
  <c r="M238" i="16"/>
  <c r="M237" i="16"/>
  <c r="M235" i="16"/>
  <c r="M234" i="16"/>
  <c r="M232" i="16"/>
  <c r="M231" i="16"/>
  <c r="M229" i="16"/>
  <c r="M228" i="16"/>
  <c r="M226" i="16"/>
  <c r="M225" i="16"/>
  <c r="M223" i="16"/>
  <c r="M177" i="16"/>
  <c r="M176" i="16"/>
  <c r="M174" i="16"/>
  <c r="M173" i="16"/>
  <c r="M171" i="16"/>
  <c r="M170" i="16"/>
  <c r="M168" i="16"/>
  <c r="M167" i="16"/>
  <c r="M165" i="16"/>
  <c r="M164" i="16"/>
  <c r="M162" i="16"/>
  <c r="M161" i="16"/>
  <c r="M159" i="16"/>
  <c r="M158" i="16"/>
  <c r="M156" i="16"/>
  <c r="M155" i="16"/>
  <c r="M117" i="16"/>
  <c r="M71" i="16"/>
  <c r="M70" i="16"/>
  <c r="M68" i="16"/>
  <c r="M67" i="16"/>
  <c r="M65" i="16"/>
  <c r="M64" i="16"/>
  <c r="M62" i="16"/>
  <c r="M61" i="16"/>
  <c r="M59" i="16"/>
  <c r="M58" i="16"/>
  <c r="M56" i="16"/>
  <c r="M55" i="16"/>
  <c r="M53" i="16"/>
  <c r="M52" i="16"/>
  <c r="M50" i="16"/>
  <c r="M49" i="16"/>
  <c r="R13" i="16"/>
  <c r="R82" i="16"/>
  <c r="R76" i="16"/>
  <c r="R77" i="16"/>
  <c r="R67" i="16"/>
  <c r="R68" i="16"/>
  <c r="R51" i="16"/>
  <c r="R55" i="16"/>
  <c r="R54" i="16"/>
  <c r="R52" i="16"/>
  <c r="R30" i="16"/>
  <c r="R31" i="16"/>
  <c r="R17" i="16"/>
  <c r="AL2" i="9"/>
  <c r="C330" i="17"/>
  <c r="G334" i="17"/>
  <c r="D322" i="17"/>
  <c r="Z273" i="8"/>
  <c r="Z272" i="8"/>
  <c r="Z271" i="8"/>
  <c r="B235" i="8"/>
  <c r="Z235" i="8"/>
  <c r="F13" i="17"/>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B6" i="23"/>
  <c r="A6" i="23"/>
  <c r="B5" i="23"/>
  <c r="A5" i="23"/>
  <c r="B4" i="23"/>
  <c r="A4" i="23"/>
  <c r="B3" i="23"/>
  <c r="B2" i="23"/>
  <c r="B1" i="23"/>
  <c r="A1" i="23"/>
  <c r="Z300" i="8"/>
  <c r="Z277" i="8"/>
  <c r="Z274" i="8"/>
  <c r="Z270" i="8"/>
  <c r="Z269" i="8"/>
  <c r="Z258" i="8"/>
  <c r="Z257" i="8"/>
  <c r="Z256" i="8"/>
  <c r="Z255" i="8"/>
  <c r="Z254" i="8"/>
  <c r="Z253" i="8"/>
  <c r="Z252" i="8"/>
  <c r="Z251" i="8"/>
  <c r="Z250" i="8"/>
  <c r="Z249" i="8"/>
  <c r="Z248" i="8"/>
  <c r="Z246" i="8"/>
  <c r="Z247" i="8"/>
  <c r="Z245" i="8"/>
  <c r="Z244" i="8"/>
  <c r="Z242" i="8"/>
  <c r="Z241"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8" i="8"/>
  <c r="Z57" i="8"/>
  <c r="Z56" i="8"/>
  <c r="Z55" i="8"/>
  <c r="Z54" i="8"/>
  <c r="Z53" i="8"/>
  <c r="Z52" i="8"/>
  <c r="Z51" i="8"/>
  <c r="Z50" i="8"/>
  <c r="Z49" i="8"/>
  <c r="Z48" i="8"/>
  <c r="Z47" i="8"/>
  <c r="Z46" i="8"/>
  <c r="Z45" i="8"/>
  <c r="Z44" i="8"/>
  <c r="Z43" i="8"/>
  <c r="Z42" i="8"/>
  <c r="Z41" i="8"/>
  <c r="Z40" i="8"/>
  <c r="Z39" i="8"/>
  <c r="Z38" i="8"/>
  <c r="Z37" i="8"/>
  <c r="Z36" i="8"/>
  <c r="Z35" i="8"/>
  <c r="Z34" i="8"/>
  <c r="Z33" i="8"/>
  <c r="Z32" i="8"/>
  <c r="Z31" i="8"/>
  <c r="Z30" i="8"/>
  <c r="Z29" i="8"/>
  <c r="Z28" i="8"/>
  <c r="Z27" i="8"/>
  <c r="Z26" i="8"/>
  <c r="Z25" i="8"/>
  <c r="Z24" i="8"/>
  <c r="Z23" i="8"/>
  <c r="Z22" i="8"/>
  <c r="Z21" i="8"/>
  <c r="Z20" i="8"/>
  <c r="Z19" i="8"/>
  <c r="Z18" i="8"/>
  <c r="Z17" i="8"/>
  <c r="Z16" i="8"/>
  <c r="Z15" i="8"/>
  <c r="Z14" i="8"/>
  <c r="Z13" i="8"/>
  <c r="Z12" i="8"/>
  <c r="Z11" i="8"/>
  <c r="Z10" i="8"/>
  <c r="Z9" i="8"/>
  <c r="G13" i="18"/>
  <c r="F221" i="17"/>
  <c r="F223" i="17"/>
  <c r="G224" i="17"/>
  <c r="F228" i="17"/>
  <c r="F231" i="17"/>
  <c r="F256" i="17"/>
  <c r="G258" i="17"/>
  <c r="F260" i="17"/>
  <c r="G263" i="17"/>
  <c r="G291" i="17"/>
  <c r="F294" i="17"/>
  <c r="F298" i="17"/>
  <c r="F387" i="17"/>
  <c r="G332" i="17"/>
  <c r="F331" i="17"/>
  <c r="F330" i="17"/>
  <c r="G326" i="17"/>
  <c r="G196" i="17"/>
  <c r="F190" i="17"/>
  <c r="F189" i="17"/>
  <c r="G188" i="17"/>
  <c r="G182" i="17"/>
  <c r="F157" i="17"/>
  <c r="G155" i="17"/>
  <c r="G154" i="17"/>
  <c r="F153" i="17"/>
  <c r="F143" i="17"/>
  <c r="F122" i="17"/>
  <c r="F119" i="17"/>
  <c r="F113" i="17"/>
  <c r="F56" i="17"/>
  <c r="G52" i="17"/>
  <c r="F17" i="17"/>
  <c r="G231" i="17"/>
  <c r="Z322" i="8"/>
  <c r="A130" i="8"/>
  <c r="A127" i="8"/>
  <c r="A124" i="8"/>
  <c r="A121" i="8"/>
  <c r="A118" i="8"/>
  <c r="A115" i="8"/>
  <c r="A112" i="8"/>
  <c r="A109" i="8"/>
  <c r="A106" i="8"/>
  <c r="A103" i="8"/>
  <c r="A98" i="8"/>
  <c r="A63" i="7"/>
  <c r="A62" i="7"/>
  <c r="A61" i="7"/>
  <c r="A53" i="7"/>
  <c r="A52" i="7"/>
  <c r="A51" i="7"/>
  <c r="A50" i="7"/>
  <c r="A49" i="7"/>
  <c r="A48" i="7"/>
  <c r="A47" i="7"/>
  <c r="A46" i="7"/>
  <c r="A45" i="7"/>
  <c r="A44" i="7"/>
  <c r="A29" i="9"/>
  <c r="A89" i="8"/>
  <c r="A92" i="8"/>
  <c r="A232" i="8"/>
  <c r="D13" i="17"/>
  <c r="C84" i="17"/>
  <c r="C88" i="17"/>
  <c r="D91" i="17"/>
  <c r="D109" i="17"/>
  <c r="C147" i="17"/>
  <c r="C148" i="17"/>
  <c r="D115" i="17"/>
  <c r="C186" i="17"/>
  <c r="D151" i="17"/>
  <c r="D187" i="17"/>
  <c r="D188" i="17"/>
  <c r="C189" i="17"/>
  <c r="C190" i="17"/>
  <c r="C157" i="17"/>
  <c r="D122" i="17"/>
  <c r="D158" i="17"/>
  <c r="D124" i="17"/>
  <c r="C247" i="17"/>
  <c r="D247" i="17"/>
  <c r="C251" i="17"/>
  <c r="D286" i="17"/>
  <c r="D219" i="17"/>
  <c r="C255" i="17"/>
  <c r="C224" i="17"/>
  <c r="D294" i="17"/>
  <c r="D295" i="17"/>
  <c r="D262" i="17"/>
  <c r="D263" i="17"/>
  <c r="D318" i="17"/>
  <c r="D354" i="17"/>
  <c r="D391" i="17"/>
  <c r="C324" i="17"/>
  <c r="D327" i="17"/>
  <c r="D334" i="17"/>
  <c r="C19" i="18"/>
  <c r="G14" i="18"/>
  <c r="A241" i="8"/>
  <c r="B21" i="16"/>
  <c r="A329" i="16"/>
  <c r="A223" i="16"/>
  <c r="A117" i="16"/>
  <c r="B69" i="16"/>
  <c r="B66" i="16"/>
  <c r="B63" i="16"/>
  <c r="B60" i="16"/>
  <c r="B57" i="16"/>
  <c r="B54" i="16"/>
  <c r="B51" i="16"/>
  <c r="B48" i="16"/>
  <c r="B45" i="16"/>
  <c r="B42" i="16"/>
  <c r="B39" i="16"/>
  <c r="B36" i="16"/>
  <c r="B33" i="16"/>
  <c r="B30" i="16"/>
  <c r="B27" i="16"/>
  <c r="B24" i="16"/>
  <c r="B18" i="16"/>
  <c r="B15" i="16"/>
  <c r="B12" i="16"/>
  <c r="B2" i="16"/>
  <c r="A2" i="16"/>
  <c r="A1" i="16"/>
  <c r="B133" i="16"/>
  <c r="A231" i="8"/>
  <c r="A86" i="8"/>
  <c r="A77" i="8"/>
  <c r="A74" i="8"/>
  <c r="A71" i="8"/>
  <c r="A68" i="8"/>
  <c r="A65" i="8"/>
  <c r="A62" i="8"/>
  <c r="A59" i="8"/>
  <c r="A56" i="8"/>
  <c r="A53" i="8"/>
  <c r="A49" i="8"/>
  <c r="A46" i="8"/>
  <c r="A43" i="8"/>
  <c r="A40" i="8"/>
  <c r="A37" i="8"/>
  <c r="A34" i="8"/>
  <c r="A31" i="8"/>
  <c r="A28" i="8"/>
  <c r="A25" i="8"/>
  <c r="A22" i="8"/>
  <c r="A19" i="8"/>
  <c r="A16" i="8"/>
  <c r="A355" i="9"/>
  <c r="A354" i="9"/>
  <c r="A363" i="16" s="1"/>
  <c r="A364" i="16" s="1"/>
  <c r="A365" i="16" s="1"/>
  <c r="A249" i="9"/>
  <c r="A248" i="9"/>
  <c r="A257" i="16" s="1"/>
  <c r="A258" i="16" s="1"/>
  <c r="A259" i="16" s="1"/>
  <c r="A143" i="9"/>
  <c r="A142" i="9"/>
  <c r="A151" i="16"/>
  <c r="A152" i="16" s="1"/>
  <c r="A153" i="16" s="1"/>
  <c r="A37" i="9"/>
  <c r="A36" i="9"/>
  <c r="A45" i="16" s="1"/>
  <c r="A46" i="16" s="1"/>
  <c r="A47" i="16" s="1"/>
  <c r="C3" i="8"/>
  <c r="A380" i="9"/>
  <c r="A379" i="9"/>
  <c r="A378" i="9"/>
  <c r="A387" i="16" s="1"/>
  <c r="A388" i="16" s="1"/>
  <c r="A389" i="16" s="1"/>
  <c r="A377" i="9"/>
  <c r="A376" i="9"/>
  <c r="A375" i="9"/>
  <c r="A384" i="16" s="1"/>
  <c r="A385" i="16" s="1"/>
  <c r="A386" i="16" s="1"/>
  <c r="A374" i="9"/>
  <c r="A373" i="9"/>
  <c r="A372" i="9"/>
  <c r="A381" i="16" s="1"/>
  <c r="A382" i="16" s="1"/>
  <c r="A383" i="16" s="1"/>
  <c r="A371" i="9"/>
  <c r="A370" i="9"/>
  <c r="A369" i="9"/>
  <c r="A378" i="16" s="1"/>
  <c r="A379" i="16" s="1"/>
  <c r="A380" i="16" s="1"/>
  <c r="A368" i="9"/>
  <c r="A367" i="9"/>
  <c r="A366" i="9"/>
  <c r="A375" i="16"/>
  <c r="A376" i="16" s="1"/>
  <c r="A377" i="16" s="1"/>
  <c r="A365" i="9"/>
  <c r="A364" i="9"/>
  <c r="A363" i="9"/>
  <c r="A372" i="16" s="1"/>
  <c r="A373" i="16" s="1"/>
  <c r="A374" i="16" s="1"/>
  <c r="A362" i="9"/>
  <c r="A361" i="9"/>
  <c r="A360" i="9"/>
  <c r="A369" i="16"/>
  <c r="A370" i="16" s="1"/>
  <c r="A371" i="16" s="1"/>
  <c r="A359" i="9"/>
  <c r="A358" i="9"/>
  <c r="A357" i="9"/>
  <c r="A366" i="16" s="1"/>
  <c r="A367" i="16" s="1"/>
  <c r="A368" i="16" s="1"/>
  <c r="A356" i="9"/>
  <c r="A353" i="9"/>
  <c r="A352" i="9"/>
  <c r="A351" i="9"/>
  <c r="A360" i="16" s="1"/>
  <c r="A361" i="16" s="1"/>
  <c r="A362" i="16" s="1"/>
  <c r="A350" i="9"/>
  <c r="A349" i="9"/>
  <c r="A348" i="9"/>
  <c r="A357" i="16" s="1"/>
  <c r="A358" i="16" s="1"/>
  <c r="A359" i="16" s="1"/>
  <c r="A347" i="9"/>
  <c r="A346" i="9"/>
  <c r="A345" i="9"/>
  <c r="A354" i="16" s="1"/>
  <c r="A355" i="16" s="1"/>
  <c r="A356" i="16" s="1"/>
  <c r="A344" i="9"/>
  <c r="A343" i="9"/>
  <c r="A342" i="9"/>
  <c r="A351" i="16" s="1"/>
  <c r="A352" i="16" s="1"/>
  <c r="A353" i="16" s="1"/>
  <c r="A341" i="9"/>
  <c r="A340" i="9"/>
  <c r="A339" i="9"/>
  <c r="A348" i="16" s="1"/>
  <c r="A349" i="16" s="1"/>
  <c r="A350" i="16" s="1"/>
  <c r="A338" i="9"/>
  <c r="A337" i="9"/>
  <c r="A336" i="9"/>
  <c r="A345" i="16" s="1"/>
  <c r="A346" i="16"/>
  <c r="A347" i="16" s="1"/>
  <c r="A335" i="9"/>
  <c r="A342" i="16"/>
  <c r="A343" i="16"/>
  <c r="A344" i="16" s="1"/>
  <c r="A339" i="16"/>
  <c r="A340" i="16" s="1"/>
  <c r="A341" i="16" s="1"/>
  <c r="A336" i="16"/>
  <c r="A337" i="16" s="1"/>
  <c r="A338" i="16" s="1"/>
  <c r="A330" i="16"/>
  <c r="A331" i="16" s="1"/>
  <c r="A332" i="16" s="1"/>
  <c r="A274" i="9"/>
  <c r="A273" i="9"/>
  <c r="A272" i="9"/>
  <c r="A281" i="16" s="1"/>
  <c r="A282" i="16" s="1"/>
  <c r="A283" i="16" s="1"/>
  <c r="A271" i="9"/>
  <c r="A270" i="9"/>
  <c r="A269" i="9"/>
  <c r="A278" i="16" s="1"/>
  <c r="A279" i="16"/>
  <c r="A280" i="16" s="1"/>
  <c r="A268" i="9"/>
  <c r="A267" i="9"/>
  <c r="A266" i="9"/>
  <c r="A275" i="16" s="1"/>
  <c r="A276" i="16" s="1"/>
  <c r="A277" i="16" s="1"/>
  <c r="A265" i="9"/>
  <c r="A264" i="9"/>
  <c r="A263" i="9"/>
  <c r="A272" i="16" s="1"/>
  <c r="A273" i="16" s="1"/>
  <c r="A274" i="16" s="1"/>
  <c r="A262" i="9"/>
  <c r="A261" i="9"/>
  <c r="A260" i="9"/>
  <c r="A269" i="16" s="1"/>
  <c r="A270" i="16" s="1"/>
  <c r="A271" i="16" s="1"/>
  <c r="A259" i="9"/>
  <c r="A258" i="9"/>
  <c r="A257" i="9"/>
  <c r="A266" i="16" s="1"/>
  <c r="A267" i="16" s="1"/>
  <c r="A268" i="16" s="1"/>
  <c r="A256" i="9"/>
  <c r="A255" i="9"/>
  <c r="A254" i="9"/>
  <c r="A263" i="16" s="1"/>
  <c r="A264" i="16" s="1"/>
  <c r="A265" i="16" s="1"/>
  <c r="A253" i="9"/>
  <c r="A252" i="9"/>
  <c r="A251" i="9"/>
  <c r="A260" i="16" s="1"/>
  <c r="A261" i="16" s="1"/>
  <c r="A262" i="16" s="1"/>
  <c r="A250" i="9"/>
  <c r="A247" i="9"/>
  <c r="A246" i="9"/>
  <c r="A245" i="9"/>
  <c r="A254" i="16" s="1"/>
  <c r="A255" i="16" s="1"/>
  <c r="A256" i="16"/>
  <c r="A244" i="9"/>
  <c r="A243" i="9"/>
  <c r="A242" i="9"/>
  <c r="A251" i="16"/>
  <c r="A252" i="16" s="1"/>
  <c r="A253" i="16" s="1"/>
  <c r="A241" i="9"/>
  <c r="A240" i="9"/>
  <c r="A239" i="9"/>
  <c r="A248" i="16" s="1"/>
  <c r="A249" i="16" s="1"/>
  <c r="A250" i="16"/>
  <c r="A238" i="9"/>
  <c r="A237" i="9"/>
  <c r="A236" i="9"/>
  <c r="A245" i="16"/>
  <c r="A246" i="16" s="1"/>
  <c r="A247" i="16" s="1"/>
  <c r="A235" i="9"/>
  <c r="A234" i="9"/>
  <c r="A233" i="9"/>
  <c r="A242" i="16" s="1"/>
  <c r="A243" i="16" s="1"/>
  <c r="A244" i="16"/>
  <c r="A232" i="9"/>
  <c r="A231" i="9"/>
  <c r="A230" i="9"/>
  <c r="A239" i="16"/>
  <c r="A240" i="16" s="1"/>
  <c r="A241" i="16" s="1"/>
  <c r="A229" i="9"/>
  <c r="A236" i="16"/>
  <c r="A237" i="16" s="1"/>
  <c r="A238" i="16" s="1"/>
  <c r="A233" i="16"/>
  <c r="A234" i="16"/>
  <c r="A235" i="16" s="1"/>
  <c r="A230" i="16"/>
  <c r="A231" i="16" s="1"/>
  <c r="A232" i="16"/>
  <c r="A224" i="16"/>
  <c r="A225" i="16" s="1"/>
  <c r="A226" i="16" s="1"/>
  <c r="A168" i="9"/>
  <c r="A167" i="9"/>
  <c r="A165" i="9"/>
  <c r="A164" i="9"/>
  <c r="A163" i="9"/>
  <c r="A172" i="16" s="1"/>
  <c r="A173" i="16" s="1"/>
  <c r="A174" i="16" s="1"/>
  <c r="A162" i="9"/>
  <c r="A161" i="9"/>
  <c r="A160" i="9"/>
  <c r="A169" i="16" s="1"/>
  <c r="A170" i="16" s="1"/>
  <c r="A171" i="16" s="1"/>
  <c r="A159" i="9"/>
  <c r="A158" i="9"/>
  <c r="A157" i="9"/>
  <c r="A166" i="16" s="1"/>
  <c r="A167" i="16" s="1"/>
  <c r="A168" i="16" s="1"/>
  <c r="A156" i="9"/>
  <c r="A155" i="9"/>
  <c r="A154" i="9"/>
  <c r="A163" i="16" s="1"/>
  <c r="A164" i="16" s="1"/>
  <c r="A165" i="16" s="1"/>
  <c r="A153" i="9"/>
  <c r="A152" i="9"/>
  <c r="A151" i="9"/>
  <c r="A160" i="16" s="1"/>
  <c r="A161" i="16" s="1"/>
  <c r="A162" i="16" s="1"/>
  <c r="A150" i="9"/>
  <c r="A149" i="9"/>
  <c r="A148" i="9"/>
  <c r="A157" i="16" s="1"/>
  <c r="A158" i="16" s="1"/>
  <c r="A159" i="16" s="1"/>
  <c r="A147" i="9"/>
  <c r="A146" i="9"/>
  <c r="A145" i="9"/>
  <c r="A154" i="16" s="1"/>
  <c r="A155" i="16" s="1"/>
  <c r="A156" i="16" s="1"/>
  <c r="A144" i="9"/>
  <c r="A141" i="9"/>
  <c r="A140" i="9"/>
  <c r="A139" i="9"/>
  <c r="A148" i="16" s="1"/>
  <c r="A149" i="16"/>
  <c r="A150" i="16" s="1"/>
  <c r="A138" i="9"/>
  <c r="A137" i="9"/>
  <c r="A136" i="9"/>
  <c r="A145" i="16" s="1"/>
  <c r="A146" i="16" s="1"/>
  <c r="A147" i="16" s="1"/>
  <c r="A135" i="9"/>
  <c r="A134" i="9"/>
  <c r="A133" i="9"/>
  <c r="A142" i="16" s="1"/>
  <c r="A143" i="16" s="1"/>
  <c r="A144" i="16" s="1"/>
  <c r="A132" i="9"/>
  <c r="A131" i="9"/>
  <c r="A130" i="9"/>
  <c r="A139" i="16" s="1"/>
  <c r="A140" i="16" s="1"/>
  <c r="A141" i="16" s="1"/>
  <c r="A129" i="9"/>
  <c r="A128" i="9"/>
  <c r="A127" i="9"/>
  <c r="A136" i="16" s="1"/>
  <c r="A137" i="16"/>
  <c r="A138" i="16" s="1"/>
  <c r="A126" i="9"/>
  <c r="A125" i="9"/>
  <c r="A124" i="9"/>
  <c r="A133" i="16" s="1"/>
  <c r="A134" i="16" s="1"/>
  <c r="A135" i="16" s="1"/>
  <c r="A123" i="9"/>
  <c r="A122" i="9"/>
  <c r="A121" i="9"/>
  <c r="A130" i="16" s="1"/>
  <c r="A131" i="16" s="1"/>
  <c r="A132" i="16" s="1"/>
  <c r="A120" i="9"/>
  <c r="A119" i="9"/>
  <c r="A118" i="9"/>
  <c r="A127" i="16" s="1"/>
  <c r="A128" i="16" s="1"/>
  <c r="A129" i="16" s="1"/>
  <c r="A117" i="9"/>
  <c r="A116" i="9"/>
  <c r="A115" i="9"/>
  <c r="A124" i="16" s="1"/>
  <c r="A125" i="16" s="1"/>
  <c r="A126" i="16" s="1"/>
  <c r="A114" i="9"/>
  <c r="A113" i="9"/>
  <c r="A112" i="9"/>
  <c r="A121" i="16" s="1"/>
  <c r="A122" i="16" s="1"/>
  <c r="A123" i="16" s="1"/>
  <c r="A111" i="9"/>
  <c r="A110" i="9"/>
  <c r="A109" i="9"/>
  <c r="A118" i="16" s="1"/>
  <c r="A119" i="16" s="1"/>
  <c r="A120" i="16" s="1"/>
  <c r="A62" i="9"/>
  <c r="A59" i="9"/>
  <c r="A56" i="9"/>
  <c r="A53" i="9"/>
  <c r="A50" i="9"/>
  <c r="A47" i="9"/>
  <c r="A44" i="9"/>
  <c r="A41" i="9"/>
  <c r="A38" i="9"/>
  <c r="A35" i="9"/>
  <c r="A32" i="9"/>
  <c r="A26" i="9"/>
  <c r="A23" i="9"/>
  <c r="A20" i="9"/>
  <c r="A19" i="9"/>
  <c r="A18" i="9"/>
  <c r="A27" i="16" s="1"/>
  <c r="A28" i="16" s="1"/>
  <c r="A29" i="16"/>
  <c r="A61" i="9"/>
  <c r="A60" i="9"/>
  <c r="A69" i="16" s="1"/>
  <c r="A70" i="16" s="1"/>
  <c r="A71" i="16" s="1"/>
  <c r="A58" i="9"/>
  <c r="A57" i="9"/>
  <c r="A66" i="16" s="1"/>
  <c r="A67" i="16" s="1"/>
  <c r="A68" i="16" s="1"/>
  <c r="A55" i="9"/>
  <c r="A54" i="9"/>
  <c r="A63" i="16"/>
  <c r="A64" i="16" s="1"/>
  <c r="A65" i="16" s="1"/>
  <c r="A52" i="9"/>
  <c r="A51" i="9"/>
  <c r="A60" i="16"/>
  <c r="A61" i="16" s="1"/>
  <c r="A62" i="16" s="1"/>
  <c r="A49" i="9"/>
  <c r="A48" i="9"/>
  <c r="A57" i="16" s="1"/>
  <c r="A58" i="16" s="1"/>
  <c r="A59" i="16" s="1"/>
  <c r="A46" i="9"/>
  <c r="A45" i="9"/>
  <c r="A54" i="16"/>
  <c r="A55" i="16" s="1"/>
  <c r="A56" i="16" s="1"/>
  <c r="A43" i="9"/>
  <c r="A42" i="9"/>
  <c r="A51" i="16" s="1"/>
  <c r="A52" i="16" s="1"/>
  <c r="A53" i="16" s="1"/>
  <c r="A40" i="9"/>
  <c r="A39" i="9"/>
  <c r="A48" i="16" s="1"/>
  <c r="A49" i="16" s="1"/>
  <c r="A50" i="16" s="1"/>
  <c r="A34" i="9"/>
  <c r="A33" i="9"/>
  <c r="A42" i="16" s="1"/>
  <c r="A43" i="16" s="1"/>
  <c r="A44" i="16" s="1"/>
  <c r="A31" i="9"/>
  <c r="A30" i="9"/>
  <c r="A39" i="16"/>
  <c r="A40" i="16" s="1"/>
  <c r="A41" i="16" s="1"/>
  <c r="A28" i="9"/>
  <c r="A27" i="9"/>
  <c r="A36" i="16" s="1"/>
  <c r="A37" i="16" s="1"/>
  <c r="A38" i="16" s="1"/>
  <c r="A25" i="9"/>
  <c r="A24" i="9"/>
  <c r="A33" i="16" s="1"/>
  <c r="A34" i="16" s="1"/>
  <c r="A35" i="16" s="1"/>
  <c r="A22" i="9"/>
  <c r="A21" i="9"/>
  <c r="A30" i="16" s="1"/>
  <c r="A31" i="16" s="1"/>
  <c r="A32" i="16" s="1"/>
  <c r="A17" i="9"/>
  <c r="A16" i="9"/>
  <c r="A15" i="9"/>
  <c r="A24" i="16" s="1"/>
  <c r="A25" i="16" s="1"/>
  <c r="A26" i="16" s="1"/>
  <c r="A14" i="9"/>
  <c r="A13" i="9"/>
  <c r="A12" i="9"/>
  <c r="A21" i="16" s="1"/>
  <c r="A22" i="16" s="1"/>
  <c r="A23" i="16" s="1"/>
  <c r="A11" i="9"/>
  <c r="A10" i="9"/>
  <c r="A9" i="9"/>
  <c r="A18" i="16" s="1"/>
  <c r="A19" i="16" s="1"/>
  <c r="A20" i="16" s="1"/>
  <c r="A8" i="9"/>
  <c r="A7" i="9"/>
  <c r="A6" i="9"/>
  <c r="A15" i="16" s="1"/>
  <c r="A16" i="16" s="1"/>
  <c r="A17" i="16" s="1"/>
  <c r="A5" i="9"/>
  <c r="A4" i="9"/>
  <c r="A3" i="9"/>
  <c r="A12" i="16" s="1"/>
  <c r="A13" i="16" s="1"/>
  <c r="A14" i="16" s="1"/>
  <c r="A10" i="8"/>
  <c r="A13" i="8"/>
  <c r="A240" i="8"/>
  <c r="B236" i="8"/>
  <c r="Z236" i="8" s="1"/>
  <c r="C2" i="8"/>
  <c r="C4" i="8"/>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D177" i="17"/>
  <c r="B160" i="16"/>
  <c r="D388" i="17"/>
  <c r="D283" i="17"/>
  <c r="C17" i="17"/>
  <c r="D117" i="17"/>
  <c r="C332" i="17"/>
  <c r="D118" i="17"/>
  <c r="C119" i="17"/>
  <c r="D260" i="17"/>
  <c r="D185" i="17"/>
  <c r="D123" i="17"/>
  <c r="D225" i="17"/>
  <c r="D150" i="17"/>
  <c r="D193" i="17"/>
  <c r="D53" i="17"/>
  <c r="D18" i="17"/>
  <c r="C116" i="17"/>
  <c r="C151" i="17"/>
  <c r="C112" i="17"/>
  <c r="C182" i="17"/>
  <c r="C178" i="17"/>
  <c r="D107" i="17"/>
  <c r="C18" i="17"/>
  <c r="C53" i="17"/>
  <c r="C229" i="17"/>
  <c r="D335" i="17"/>
  <c r="C52" i="17"/>
  <c r="C87" i="17"/>
  <c r="D88" i="17"/>
  <c r="D228" i="17"/>
  <c r="D83" i="17"/>
  <c r="D298" i="17"/>
  <c r="C388" i="17"/>
  <c r="C353" i="17"/>
  <c r="C299" i="17"/>
  <c r="D75" i="17"/>
  <c r="D336" i="17"/>
  <c r="D212" i="17"/>
  <c r="D87" i="17"/>
  <c r="D17" i="17"/>
  <c r="C333" i="17"/>
  <c r="D282" i="17"/>
  <c r="D195" i="17"/>
  <c r="C37" i="17"/>
  <c r="D40" i="17"/>
  <c r="D48" i="17"/>
  <c r="D192" i="17"/>
  <c r="D224" i="17"/>
  <c r="D153" i="17"/>
  <c r="C196" i="17"/>
  <c r="D157" i="17"/>
  <c r="D330" i="17"/>
  <c r="D152" i="17"/>
  <c r="C122" i="17"/>
  <c r="D259" i="17"/>
  <c r="D194" i="17"/>
  <c r="C192" i="17"/>
  <c r="D321" i="17"/>
  <c r="D159" i="17"/>
  <c r="C291" i="17"/>
  <c r="C221" i="17"/>
  <c r="C256" i="17"/>
  <c r="D290" i="17"/>
  <c r="D220" i="17"/>
  <c r="D251" i="17"/>
  <c r="D216" i="17"/>
  <c r="D356" i="17"/>
  <c r="D186" i="17"/>
  <c r="D289" i="17"/>
  <c r="C259" i="17"/>
  <c r="D56" i="17"/>
  <c r="C153" i="17"/>
  <c r="D114" i="17"/>
  <c r="D149" i="17"/>
  <c r="D184" i="17"/>
  <c r="D55" i="17"/>
  <c r="D14" i="17"/>
  <c r="D49" i="17"/>
  <c r="C3" i="17"/>
  <c r="C44" i="17"/>
  <c r="C188" i="17"/>
  <c r="C352" i="17"/>
  <c r="C263" i="17"/>
  <c r="C298" i="17"/>
  <c r="C317" i="17"/>
  <c r="C334" i="17"/>
  <c r="C387" i="17"/>
  <c r="D329" i="17"/>
  <c r="C326" i="17"/>
  <c r="C149" i="17"/>
  <c r="D116" i="17"/>
  <c r="C118" i="17"/>
  <c r="D145" i="17"/>
  <c r="D21" i="17"/>
  <c r="C191" i="17"/>
  <c r="D196" i="17"/>
  <c r="C89" i="17"/>
  <c r="C228" i="17"/>
  <c r="D227" i="17"/>
  <c r="D15" i="17"/>
  <c r="C54" i="17"/>
  <c r="C156" i="17"/>
  <c r="C194" i="17"/>
  <c r="C290" i="17"/>
  <c r="D180" i="17"/>
  <c r="D254" i="17"/>
  <c r="D297" i="17"/>
  <c r="D84" i="17"/>
  <c r="D50" i="17"/>
  <c r="C121" i="17"/>
  <c r="C294" i="17"/>
  <c r="D154" i="17"/>
  <c r="C325" i="17"/>
  <c r="C113" i="17"/>
  <c r="C120" i="17"/>
  <c r="C81" i="17"/>
  <c r="C155" i="17"/>
  <c r="C331" i="17"/>
  <c r="C223" i="17"/>
  <c r="C10" i="17"/>
  <c r="C215" i="17"/>
  <c r="C49" i="17"/>
  <c r="B139" i="16"/>
  <c r="C258" i="17"/>
  <c r="C301" i="17"/>
  <c r="C285" i="17"/>
  <c r="C250" i="17"/>
  <c r="C159" i="17"/>
  <c r="C124" i="17"/>
  <c r="D252" i="17"/>
  <c r="C214" i="17"/>
  <c r="D155" i="17"/>
  <c r="D120" i="17"/>
  <c r="C6" i="17"/>
  <c r="C41" i="17"/>
  <c r="B163" i="16"/>
  <c r="C327" i="17"/>
  <c r="D328" i="17"/>
  <c r="D326" i="17"/>
  <c r="D213" i="17"/>
  <c r="C293" i="17"/>
  <c r="D255" i="17"/>
  <c r="C288" i="17"/>
  <c r="C216" i="17"/>
  <c r="C212" i="17"/>
  <c r="C282" i="17"/>
  <c r="C154" i="17"/>
  <c r="C183" i="17"/>
  <c r="C110" i="17"/>
  <c r="D179" i="17"/>
  <c r="D144" i="17"/>
  <c r="C143" i="17"/>
  <c r="C108" i="17"/>
  <c r="C14" i="17"/>
  <c r="C80" i="17"/>
  <c r="D77" i="17"/>
  <c r="D2" i="17"/>
  <c r="C2" i="17"/>
  <c r="B281" i="16"/>
  <c r="B387" i="16"/>
  <c r="Z323" i="8"/>
  <c r="B118" i="16"/>
  <c r="G17" i="17"/>
  <c r="B157" i="16"/>
  <c r="B242" i="16"/>
  <c r="F334" i="17"/>
  <c r="F333" i="17"/>
  <c r="G333" i="17"/>
  <c r="G11" i="17"/>
  <c r="C46" i="17"/>
  <c r="F81" i="17"/>
  <c r="F3" i="17"/>
  <c r="D42" i="17"/>
  <c r="C73" i="17"/>
  <c r="F46" i="17"/>
  <c r="D41" i="17"/>
  <c r="F88" i="17"/>
  <c r="G53" i="17"/>
  <c r="G18" i="17"/>
  <c r="F84" i="17"/>
  <c r="G49" i="17"/>
  <c r="F80" i="17"/>
  <c r="F76" i="17"/>
  <c r="C76" i="17"/>
  <c r="C45" i="17"/>
  <c r="C11" i="17"/>
  <c r="D353" i="17"/>
  <c r="C19" i="17"/>
  <c r="C72" i="17"/>
  <c r="B130" i="16"/>
  <c r="C318" i="17"/>
  <c r="D85" i="17"/>
  <c r="D7" i="17"/>
  <c r="C38" i="17"/>
  <c r="G73" i="17"/>
  <c r="G89" i="17"/>
  <c r="G260" i="17"/>
  <c r="D110" i="17"/>
  <c r="G121" i="17"/>
  <c r="F156" i="17"/>
  <c r="G191" i="17"/>
  <c r="F293" i="17"/>
  <c r="G293" i="17"/>
  <c r="G12" i="18"/>
  <c r="G3" i="17"/>
  <c r="D90" i="17"/>
  <c r="D20" i="17"/>
  <c r="D47" i="17"/>
  <c r="D82" i="17"/>
  <c r="D4" i="17"/>
  <c r="D74" i="17"/>
  <c r="D39" i="17"/>
  <c r="F16" i="17"/>
  <c r="F51" i="17"/>
  <c r="C16" i="17"/>
  <c r="F86" i="17"/>
  <c r="C51" i="17"/>
  <c r="F78" i="17"/>
  <c r="C8" i="17"/>
  <c r="D51" i="17"/>
  <c r="D86" i="17"/>
  <c r="D16" i="17"/>
  <c r="D78" i="17"/>
  <c r="D8" i="17"/>
  <c r="F90" i="17"/>
  <c r="C90" i="17"/>
  <c r="C55" i="17"/>
  <c r="G55" i="17"/>
  <c r="G20" i="17"/>
  <c r="F82" i="17"/>
  <c r="G47" i="17"/>
  <c r="G12" i="17"/>
  <c r="C82" i="17"/>
  <c r="C47" i="17"/>
  <c r="G74" i="17"/>
  <c r="G39" i="17"/>
  <c r="C4" i="17"/>
  <c r="C39" i="17"/>
  <c r="C74" i="17"/>
  <c r="C12" i="17"/>
  <c r="F49" i="17"/>
  <c r="C20" i="17"/>
  <c r="C86" i="17"/>
  <c r="D12" i="17"/>
  <c r="D43" i="17"/>
  <c r="G388" i="17"/>
  <c r="F388" i="17"/>
  <c r="G87" i="17"/>
  <c r="F87" i="17"/>
  <c r="F47" i="17"/>
  <c r="F55" i="17"/>
  <c r="G190" i="17"/>
  <c r="F285" i="17"/>
  <c r="G8" i="18"/>
  <c r="G9" i="18"/>
  <c r="K112" i="17"/>
  <c r="F258" i="17"/>
  <c r="G116" i="17"/>
  <c r="G186" i="17"/>
  <c r="F326" i="17"/>
  <c r="G86" i="17"/>
  <c r="B372" i="16"/>
  <c r="B266" i="16"/>
  <c r="G51" i="17"/>
  <c r="G228" i="17"/>
  <c r="G88" i="17"/>
  <c r="F11" i="17"/>
  <c r="G256" i="17"/>
  <c r="F155" i="17"/>
  <c r="G294" i="17"/>
  <c r="F191" i="17"/>
  <c r="F327" i="17"/>
  <c r="G327" i="17"/>
  <c r="G225" i="17"/>
  <c r="F225" i="17"/>
  <c r="G122" i="17"/>
  <c r="C56" i="17"/>
  <c r="D221" i="17"/>
  <c r="C48" i="17"/>
  <c r="F151" i="17"/>
  <c r="C354" i="17"/>
  <c r="C83" i="17"/>
  <c r="G330" i="17"/>
  <c r="F21" i="17"/>
  <c r="G83" i="17"/>
  <c r="G16" i="17"/>
  <c r="F332" i="17"/>
  <c r="F224" i="17"/>
  <c r="D44" i="17"/>
  <c r="D256" i="17"/>
  <c r="C287" i="17"/>
  <c r="C91" i="17"/>
  <c r="C335" i="17"/>
  <c r="G335" i="17"/>
  <c r="D331" i="17"/>
  <c r="C21" i="17"/>
  <c r="D229" i="17"/>
  <c r="G221" i="17"/>
  <c r="C260" i="17"/>
  <c r="B151" i="16"/>
  <c r="G212" i="17"/>
  <c r="F48" i="17"/>
  <c r="F12" i="17"/>
  <c r="F39" i="17"/>
  <c r="F45" i="17"/>
  <c r="B172" i="16"/>
  <c r="C295" i="17"/>
  <c r="C225" i="17"/>
  <c r="G76" i="17"/>
  <c r="G153" i="17"/>
  <c r="C356" i="17"/>
  <c r="G46" i="17"/>
  <c r="G80" i="17"/>
  <c r="C187" i="17"/>
  <c r="F53" i="17"/>
  <c r="G119" i="17"/>
  <c r="D333" i="17"/>
  <c r="G157" i="17"/>
  <c r="F186" i="17"/>
  <c r="F20" i="17"/>
  <c r="B169" i="16"/>
  <c r="D387" i="17"/>
  <c r="B275" i="16"/>
  <c r="D293" i="17"/>
  <c r="G329" i="17"/>
  <c r="F182" i="17"/>
  <c r="G387" i="17"/>
  <c r="C262" i="17"/>
  <c r="G109" i="17"/>
  <c r="C329" i="17"/>
  <c r="D325" i="17"/>
  <c r="C227" i="17"/>
  <c r="G82" i="17"/>
  <c r="D301" i="17"/>
  <c r="C219" i="17"/>
  <c r="C289" i="17"/>
  <c r="D223" i="17"/>
  <c r="D317" i="17"/>
  <c r="C254" i="17"/>
  <c r="C109" i="17"/>
  <c r="F18" i="17"/>
  <c r="G301" i="17"/>
  <c r="D215" i="17"/>
  <c r="D285" i="17"/>
  <c r="F116" i="17"/>
  <c r="B148" i="16"/>
  <c r="F117" i="17"/>
  <c r="G117" i="17"/>
  <c r="B357" i="9"/>
  <c r="B366" i="16" s="1"/>
  <c r="F121" i="17"/>
  <c r="C253" i="17"/>
  <c r="D222" i="17"/>
  <c r="D257" i="17"/>
  <c r="B369" i="16"/>
  <c r="F263" i="17"/>
  <c r="F195" i="17"/>
  <c r="B278" i="16"/>
  <c r="D183" i="17"/>
  <c r="D300" i="17"/>
  <c r="C195" i="17"/>
  <c r="G13" i="17"/>
  <c r="D148" i="17"/>
  <c r="C144" i="17"/>
  <c r="C226" i="17"/>
  <c r="B136" i="16"/>
  <c r="G84" i="17"/>
  <c r="F187" i="17"/>
  <c r="C261" i="17"/>
  <c r="C296" i="17"/>
  <c r="B154" i="16"/>
  <c r="D121" i="17"/>
  <c r="D191" i="17"/>
  <c r="G288" i="17"/>
  <c r="G223" i="17"/>
  <c r="G156" i="17"/>
  <c r="C117" i="17"/>
  <c r="C218" i="17"/>
  <c r="F52" i="17"/>
  <c r="C152" i="17"/>
  <c r="C179" i="17"/>
  <c r="G331" i="17"/>
  <c r="F154" i="17"/>
  <c r="D89" i="17"/>
  <c r="D54" i="17"/>
  <c r="D19" i="17"/>
  <c r="D11" i="17"/>
  <c r="D81" i="17"/>
  <c r="F14" i="17"/>
  <c r="G14" i="17"/>
  <c r="D119" i="17"/>
  <c r="D189" i="17"/>
  <c r="D111" i="17"/>
  <c r="D181" i="17"/>
  <c r="D146" i="17"/>
  <c r="C123" i="17"/>
  <c r="C193" i="17"/>
  <c r="C158" i="17"/>
  <c r="G193" i="17"/>
  <c r="G115" i="17"/>
  <c r="C185" i="17"/>
  <c r="C177" i="17"/>
  <c r="F91" i="17"/>
  <c r="G91" i="17"/>
  <c r="D46" i="17"/>
  <c r="B239" i="9"/>
  <c r="B345" i="9" s="1"/>
  <c r="B354" i="16" s="1"/>
  <c r="B142" i="16"/>
  <c r="D226" i="17"/>
  <c r="D296" i="17"/>
  <c r="D261" i="17"/>
  <c r="D218" i="17"/>
  <c r="C300" i="17"/>
  <c r="C257" i="17"/>
  <c r="F222" i="17"/>
  <c r="C292" i="17"/>
  <c r="C222" i="17"/>
  <c r="C249" i="17"/>
  <c r="C284" i="17"/>
  <c r="C85" i="17"/>
  <c r="C50" i="17"/>
  <c r="C15" i="17"/>
  <c r="F192" i="17"/>
  <c r="G192" i="17"/>
  <c r="C77" i="17"/>
  <c r="C7" i="17"/>
  <c r="C42" i="17"/>
  <c r="F299" i="17"/>
  <c r="G299" i="17"/>
  <c r="G216" i="17"/>
  <c r="B127" i="16"/>
  <c r="G19" i="17"/>
  <c r="F19" i="17"/>
  <c r="D73" i="17"/>
  <c r="D38" i="17"/>
  <c r="D3" i="17"/>
  <c r="B236" i="16"/>
  <c r="B263" i="9"/>
  <c r="B369" i="9" s="1"/>
  <c r="B378" i="16" s="1"/>
  <c r="B166" i="16"/>
  <c r="D332" i="17"/>
  <c r="D324" i="17"/>
  <c r="C336" i="17"/>
  <c r="C328" i="17"/>
  <c r="C390" i="17"/>
  <c r="C355" i="17"/>
  <c r="C320" i="17"/>
  <c r="G113" i="17"/>
  <c r="F329" i="17"/>
  <c r="F335" i="17"/>
  <c r="F194" i="17"/>
  <c r="F188" i="17"/>
  <c r="G185" i="17"/>
  <c r="G298" i="17"/>
  <c r="G81" i="17"/>
  <c r="F74" i="17"/>
  <c r="F291" i="17"/>
  <c r="F89" i="17"/>
  <c r="F196" i="17"/>
  <c r="G90" i="17"/>
  <c r="F389" i="17"/>
  <c r="Z234" i="8"/>
  <c r="K317" i="17"/>
  <c r="K110" i="17"/>
  <c r="K108" i="17"/>
  <c r="K114" i="17"/>
  <c r="K115" i="17"/>
  <c r="K117" i="17"/>
  <c r="F193" i="17"/>
  <c r="K111" i="17"/>
  <c r="K109" i="17"/>
  <c r="S30" i="16"/>
  <c r="S13" i="16"/>
  <c r="S17" i="16"/>
  <c r="S23" i="16"/>
  <c r="F259" i="17"/>
  <c r="G259" i="17"/>
  <c r="F229" i="17"/>
  <c r="G229" i="17"/>
  <c r="G54" i="17"/>
  <c r="F54" i="17"/>
  <c r="G120" i="17"/>
  <c r="F120" i="17"/>
  <c r="K113" i="17"/>
  <c r="F109" i="17"/>
  <c r="G143" i="17"/>
  <c r="G21" i="17"/>
  <c r="G56" i="17"/>
  <c r="F118" i="17"/>
  <c r="G118" i="17"/>
  <c r="G189" i="17"/>
  <c r="A3" i="23"/>
  <c r="A2" i="23"/>
  <c r="G159" i="17"/>
  <c r="F159" i="17"/>
  <c r="G124" i="17"/>
  <c r="F124" i="17"/>
  <c r="G222" i="17"/>
  <c r="F83" i="17"/>
  <c r="G187" i="17"/>
  <c r="G195" i="17"/>
  <c r="F295" i="17"/>
  <c r="G295" i="17"/>
  <c r="G48" i="17"/>
  <c r="G262" i="17"/>
  <c r="F262" i="17"/>
  <c r="F227" i="17"/>
  <c r="G227" i="17"/>
  <c r="G297" i="17"/>
  <c r="F297" i="17"/>
  <c r="F152" i="17"/>
  <c r="G152" i="17"/>
  <c r="G218" i="17"/>
  <c r="G296" i="17"/>
  <c r="F296" i="17"/>
  <c r="G226" i="17"/>
  <c r="F226" i="17"/>
  <c r="G261" i="17"/>
  <c r="F261" i="17"/>
  <c r="F179" i="17"/>
  <c r="G179" i="17"/>
  <c r="G15" i="17"/>
  <c r="F15" i="17"/>
  <c r="F390" i="17"/>
  <c r="G85" i="17"/>
  <c r="F85" i="17"/>
  <c r="F249" i="17"/>
  <c r="G249" i="17"/>
  <c r="F257" i="17"/>
  <c r="G257" i="17"/>
  <c r="F42" i="17"/>
  <c r="F50" i="17"/>
  <c r="G50" i="17"/>
  <c r="G292" i="17"/>
  <c r="F292" i="17"/>
  <c r="F300" i="17"/>
  <c r="G300" i="17"/>
  <c r="G158" i="17"/>
  <c r="F158" i="17"/>
  <c r="B272" i="16"/>
  <c r="B248" i="16"/>
  <c r="G230" i="17"/>
  <c r="F230" i="17"/>
  <c r="F328" i="17"/>
  <c r="G328" i="17"/>
  <c r="F7" i="17"/>
  <c r="F123" i="17"/>
  <c r="G123" i="17"/>
  <c r="G77" i="17"/>
  <c r="F77" i="17"/>
  <c r="G18" i="18"/>
  <c r="C272" i="8"/>
  <c r="W24" i="24" l="1"/>
  <c r="X23" i="24"/>
  <c r="W22" i="24"/>
  <c r="W21" i="24"/>
  <c r="Y21" i="24" s="1"/>
  <c r="W20" i="24"/>
  <c r="X19" i="24"/>
  <c r="X28" i="24"/>
  <c r="Y28" i="24" s="1"/>
  <c r="W25" i="24"/>
  <c r="Y25" i="24" s="1"/>
  <c r="W17" i="24"/>
  <c r="X16" i="24"/>
  <c r="X21" i="24"/>
  <c r="W16" i="24"/>
  <c r="W23" i="24"/>
  <c r="W14" i="24"/>
  <c r="W27" i="24"/>
  <c r="Y27" i="24" s="1"/>
  <c r="X17" i="24"/>
  <c r="X24" i="24"/>
  <c r="Y24" i="24" s="1"/>
  <c r="X15" i="24"/>
  <c r="W61" i="24"/>
  <c r="W35" i="24"/>
  <c r="Y35" i="24" s="1"/>
  <c r="W57" i="24"/>
  <c r="Y57" i="24" s="1"/>
  <c r="W19" i="24"/>
  <c r="Y19" i="24" s="1"/>
  <c r="X53" i="24"/>
  <c r="Y53" i="24" s="1"/>
  <c r="X20" i="24"/>
  <c r="W15" i="24"/>
  <c r="W48" i="24"/>
  <c r="Y48" i="24" s="1"/>
  <c r="Y61" i="24"/>
  <c r="W51" i="24"/>
  <c r="Y51" i="24" s="1"/>
  <c r="X60" i="24"/>
  <c r="Y60" i="24" s="1"/>
  <c r="X56" i="24"/>
  <c r="Y56" i="24" s="1"/>
  <c r="X49" i="24"/>
  <c r="Y49" i="24" s="1"/>
  <c r="X45" i="24"/>
  <c r="Y45" i="24" s="1"/>
  <c r="X40" i="24"/>
  <c r="Y40" i="24" s="1"/>
  <c r="X33" i="24"/>
  <c r="Y33" i="24" s="1"/>
  <c r="X41" i="24"/>
  <c r="Y41" i="24" s="1"/>
  <c r="X52" i="24"/>
  <c r="Y52" i="24" s="1"/>
  <c r="W44" i="24"/>
  <c r="Y44" i="24" s="1"/>
  <c r="W39" i="24"/>
  <c r="Y39" i="24" s="1"/>
  <c r="X32" i="24"/>
  <c r="Y32" i="24" s="1"/>
  <c r="X26" i="24"/>
  <c r="Y26" i="24" s="1"/>
  <c r="X22" i="24"/>
  <c r="Y22" i="24" s="1"/>
  <c r="X18" i="24"/>
  <c r="Y18" i="24" s="1"/>
  <c r="X14" i="24"/>
  <c r="W55" i="24"/>
  <c r="Y55" i="24" s="1"/>
  <c r="W43" i="24"/>
  <c r="Y43" i="24" s="1"/>
  <c r="W36" i="24"/>
  <c r="Y36" i="24" s="1"/>
  <c r="W31" i="24"/>
  <c r="Y31" i="24" s="1"/>
  <c r="I18" i="24"/>
  <c r="J17" i="24"/>
  <c r="I17" i="24"/>
  <c r="AM17" i="24"/>
  <c r="AM25" i="24"/>
  <c r="J16" i="24"/>
  <c r="I14" i="24"/>
  <c r="AM26" i="24"/>
  <c r="AM20" i="24"/>
  <c r="AM24" i="24"/>
  <c r="J59" i="24"/>
  <c r="K59" i="24" s="1"/>
  <c r="J55" i="24"/>
  <c r="K55" i="24" s="1"/>
  <c r="I51" i="24"/>
  <c r="K51" i="24" s="1"/>
  <c r="I47" i="24"/>
  <c r="K47" i="24" s="1"/>
  <c r="I42" i="24"/>
  <c r="K42" i="24" s="1"/>
  <c r="J36" i="24"/>
  <c r="K36" i="24" s="1"/>
  <c r="J32" i="24"/>
  <c r="K32" i="24" s="1"/>
  <c r="AM14" i="24"/>
  <c r="AM16" i="24"/>
  <c r="J63" i="24"/>
  <c r="K63" i="24" s="1"/>
  <c r="I50" i="24"/>
  <c r="K50" i="24" s="1"/>
  <c r="J44" i="24"/>
  <c r="K44" i="24" s="1"/>
  <c r="J40" i="24"/>
  <c r="K40" i="24" s="1"/>
  <c r="J35" i="24"/>
  <c r="K35" i="24" s="1"/>
  <c r="J31" i="24"/>
  <c r="K31" i="24" s="1"/>
  <c r="I58" i="24"/>
  <c r="K58" i="24" s="1"/>
  <c r="J52" i="24"/>
  <c r="K52" i="24" s="1"/>
  <c r="J48" i="24"/>
  <c r="K48" i="24" s="1"/>
  <c r="J43" i="24"/>
  <c r="K43" i="24" s="1"/>
  <c r="J39" i="24"/>
  <c r="K39" i="24" s="1"/>
  <c r="J18" i="24"/>
  <c r="J14" i="24"/>
  <c r="J60" i="24"/>
  <c r="K60" i="24" s="1"/>
  <c r="J56" i="24"/>
  <c r="K56" i="24" s="1"/>
  <c r="I34" i="24"/>
  <c r="K34" i="24" s="1"/>
  <c r="AM23" i="24"/>
  <c r="AM22" i="24"/>
  <c r="AM15" i="24"/>
  <c r="AM19" i="24"/>
  <c r="AM21" i="24"/>
  <c r="H44" i="17"/>
  <c r="H79" i="17" s="1"/>
  <c r="I9" i="17"/>
  <c r="I44" i="17" s="1"/>
  <c r="I79" i="17" s="1"/>
  <c r="J44" i="17"/>
  <c r="K9" i="17"/>
  <c r="I29" i="24"/>
  <c r="J29" i="24"/>
  <c r="I25" i="24"/>
  <c r="J25" i="24"/>
  <c r="I19" i="24"/>
  <c r="J19" i="24"/>
  <c r="B381" i="9"/>
  <c r="B390" i="16" s="1"/>
  <c r="B284" i="16"/>
  <c r="H71" i="17"/>
  <c r="H106" i="17" s="1"/>
  <c r="I36" i="17"/>
  <c r="I71" i="17" s="1"/>
  <c r="I106" i="17" s="1"/>
  <c r="H3" i="17"/>
  <c r="V82" i="16"/>
  <c r="V66" i="16"/>
  <c r="V50" i="16"/>
  <c r="V34" i="16"/>
  <c r="V18" i="16"/>
  <c r="S81" i="16"/>
  <c r="S65" i="16"/>
  <c r="S49" i="16"/>
  <c r="V78" i="16"/>
  <c r="V62" i="16"/>
  <c r="V46" i="16"/>
  <c r="V30" i="16"/>
  <c r="V14" i="16"/>
  <c r="S77" i="16"/>
  <c r="S61" i="16"/>
  <c r="S45" i="16"/>
  <c r="S21" i="16"/>
  <c r="H151" i="17"/>
  <c r="H186" i="17" s="1"/>
  <c r="I116" i="17"/>
  <c r="I151" i="17" s="1"/>
  <c r="I186" i="17" s="1"/>
  <c r="H155" i="17"/>
  <c r="H190" i="17" s="1"/>
  <c r="I120" i="17"/>
  <c r="I155" i="17" s="1"/>
  <c r="I190" i="17" s="1"/>
  <c r="J166" i="17"/>
  <c r="K131" i="17"/>
  <c r="K168" i="17"/>
  <c r="K203" i="17" s="1"/>
  <c r="J203" i="17"/>
  <c r="I214" i="17"/>
  <c r="I249" i="17" s="1"/>
  <c r="I284" i="17" s="1"/>
  <c r="H249" i="17"/>
  <c r="H284" i="17" s="1"/>
  <c r="I217" i="17"/>
  <c r="I252" i="17" s="1"/>
  <c r="I287" i="17" s="1"/>
  <c r="H252" i="17"/>
  <c r="H287" i="17" s="1"/>
  <c r="I220" i="17"/>
  <c r="I255" i="17" s="1"/>
  <c r="I290" i="17" s="1"/>
  <c r="H255" i="17"/>
  <c r="H290" i="17" s="1"/>
  <c r="I223" i="17"/>
  <c r="I258" i="17" s="1"/>
  <c r="I293" i="17" s="1"/>
  <c r="H258" i="17"/>
  <c r="H293" i="17" s="1"/>
  <c r="I226" i="17"/>
  <c r="I261" i="17" s="1"/>
  <c r="I296" i="17" s="1"/>
  <c r="H261" i="17"/>
  <c r="H296" i="17" s="1"/>
  <c r="I229" i="17"/>
  <c r="I264" i="17" s="1"/>
  <c r="I299" i="17" s="1"/>
  <c r="H264" i="17"/>
  <c r="H299" i="17" s="1"/>
  <c r="I232" i="17"/>
  <c r="I267" i="17" s="1"/>
  <c r="I302" i="17" s="1"/>
  <c r="H267" i="17"/>
  <c r="H302" i="17" s="1"/>
  <c r="I235" i="17"/>
  <c r="I270" i="17" s="1"/>
  <c r="I305" i="17" s="1"/>
  <c r="H270" i="17"/>
  <c r="H305" i="17" s="1"/>
  <c r="K107" i="17"/>
  <c r="S14" i="16"/>
  <c r="B239" i="16"/>
  <c r="B336" i="9"/>
  <c r="B345" i="16" s="1"/>
  <c r="AM18" i="24"/>
  <c r="I15" i="24"/>
  <c r="J15" i="24"/>
  <c r="B405" i="9"/>
  <c r="B414" i="16" s="1"/>
  <c r="B308" i="16"/>
  <c r="S37" i="16"/>
  <c r="S53" i="16"/>
  <c r="S85" i="16"/>
  <c r="V38" i="16"/>
  <c r="V70" i="16"/>
  <c r="J37" i="17"/>
  <c r="I33" i="17"/>
  <c r="I68" i="17" s="1"/>
  <c r="I103" i="17" s="1"/>
  <c r="H68" i="17"/>
  <c r="H103" i="17" s="1"/>
  <c r="J64" i="17"/>
  <c r="K29" i="17"/>
  <c r="K19" i="17"/>
  <c r="J54" i="17"/>
  <c r="J53" i="17"/>
  <c r="K18" i="17"/>
  <c r="J52" i="17"/>
  <c r="K17" i="17"/>
  <c r="J45" i="17"/>
  <c r="H45" i="17"/>
  <c r="H80" i="17" s="1"/>
  <c r="J78" i="17"/>
  <c r="K78" i="17" s="1"/>
  <c r="K43" i="17"/>
  <c r="J40" i="17"/>
  <c r="K5" i="17"/>
  <c r="I23" i="24"/>
  <c r="J23" i="24"/>
  <c r="H53" i="17"/>
  <c r="H88" i="17" s="1"/>
  <c r="I18" i="17"/>
  <c r="I53" i="17" s="1"/>
  <c r="I88" i="17" s="1"/>
  <c r="J74" i="17"/>
  <c r="K74" i="17" s="1"/>
  <c r="K39" i="17"/>
  <c r="J177" i="17"/>
  <c r="K142" i="17"/>
  <c r="K177" i="17" s="1"/>
  <c r="K153" i="17"/>
  <c r="K188" i="17" s="1"/>
  <c r="J188" i="17"/>
  <c r="H158" i="17"/>
  <c r="H193" i="17" s="1"/>
  <c r="I123" i="17"/>
  <c r="I158" i="17" s="1"/>
  <c r="I193" i="17" s="1"/>
  <c r="H171" i="17"/>
  <c r="H206" i="17" s="1"/>
  <c r="I136" i="17"/>
  <c r="I171" i="17" s="1"/>
  <c r="I206" i="17" s="1"/>
  <c r="I212" i="17"/>
  <c r="I247" i="17" s="1"/>
  <c r="I282" i="17" s="1"/>
  <c r="H247" i="17"/>
  <c r="H282" i="17" s="1"/>
  <c r="I215" i="17"/>
  <c r="I250" i="17" s="1"/>
  <c r="I285" i="17" s="1"/>
  <c r="H250" i="17"/>
  <c r="H285" i="17" s="1"/>
  <c r="I218" i="17"/>
  <c r="I253" i="17" s="1"/>
  <c r="I288" i="17" s="1"/>
  <c r="H253" i="17"/>
  <c r="H288" i="17" s="1"/>
  <c r="I221" i="17"/>
  <c r="I256" i="17" s="1"/>
  <c r="I291" i="17" s="1"/>
  <c r="H256" i="17"/>
  <c r="H291" i="17" s="1"/>
  <c r="I224" i="17"/>
  <c r="I259" i="17" s="1"/>
  <c r="I294" i="17" s="1"/>
  <c r="H259" i="17"/>
  <c r="H294" i="17" s="1"/>
  <c r="I227" i="17"/>
  <c r="I262" i="17" s="1"/>
  <c r="I297" i="17" s="1"/>
  <c r="H262" i="17"/>
  <c r="H297" i="17" s="1"/>
  <c r="I231" i="17"/>
  <c r="I266" i="17" s="1"/>
  <c r="I301" i="17" s="1"/>
  <c r="H266" i="17"/>
  <c r="H301" i="17" s="1"/>
  <c r="I233" i="17"/>
  <c r="I268" i="17" s="1"/>
  <c r="I303" i="17" s="1"/>
  <c r="H268" i="17"/>
  <c r="H303" i="17" s="1"/>
  <c r="I236" i="17"/>
  <c r="I271" i="17" s="1"/>
  <c r="I306" i="17" s="1"/>
  <c r="H271" i="17"/>
  <c r="H306" i="17" s="1"/>
  <c r="S41" i="16"/>
  <c r="S26" i="16"/>
  <c r="K118" i="17"/>
  <c r="S16" i="16"/>
  <c r="S27" i="16"/>
  <c r="S39" i="16"/>
  <c r="S35" i="16"/>
  <c r="B351" i="9"/>
  <c r="B360" i="16" s="1"/>
  <c r="K116" i="17"/>
  <c r="W46" i="24"/>
  <c r="X46" i="24"/>
  <c r="W50" i="24"/>
  <c r="X50" i="24"/>
  <c r="W54" i="24"/>
  <c r="X54" i="24"/>
  <c r="W58" i="24"/>
  <c r="X58" i="24"/>
  <c r="W62" i="24"/>
  <c r="X62" i="24"/>
  <c r="B257" i="16"/>
  <c r="B354" i="9"/>
  <c r="B363" i="16" s="1"/>
  <c r="B366" i="9"/>
  <c r="B375" i="16" s="1"/>
  <c r="I61" i="24"/>
  <c r="J61" i="24"/>
  <c r="I57" i="24"/>
  <c r="J57" i="24"/>
  <c r="I53" i="24"/>
  <c r="J53" i="24"/>
  <c r="I49" i="24"/>
  <c r="J49" i="24"/>
  <c r="I45" i="24"/>
  <c r="J45" i="24"/>
  <c r="I41" i="24"/>
  <c r="J41" i="24"/>
  <c r="I37" i="24"/>
  <c r="J37" i="24"/>
  <c r="I33" i="24"/>
  <c r="J33" i="24"/>
  <c r="W59" i="24"/>
  <c r="Y59" i="24" s="1"/>
  <c r="X37" i="24"/>
  <c r="Y37" i="24" s="1"/>
  <c r="X29" i="24"/>
  <c r="Y29" i="24" s="1"/>
  <c r="I62" i="24"/>
  <c r="K62" i="24" s="1"/>
  <c r="I54" i="24"/>
  <c r="K54" i="24" s="1"/>
  <c r="I46" i="24"/>
  <c r="K46" i="24" s="1"/>
  <c r="I38" i="24"/>
  <c r="K38" i="24" s="1"/>
  <c r="I30" i="24"/>
  <c r="K30" i="24" s="1"/>
  <c r="I28" i="24"/>
  <c r="J28" i="24"/>
  <c r="I26" i="24"/>
  <c r="J26" i="24"/>
  <c r="I24" i="24"/>
  <c r="J24" i="24"/>
  <c r="I22" i="24"/>
  <c r="J22" i="24"/>
  <c r="I20" i="24"/>
  <c r="J20" i="24"/>
  <c r="S57" i="16"/>
  <c r="V42" i="16"/>
  <c r="V74" i="16"/>
  <c r="H69" i="17"/>
  <c r="H104" i="17" s="1"/>
  <c r="I34" i="17"/>
  <c r="I69" i="17" s="1"/>
  <c r="I104" i="17" s="1"/>
  <c r="H66" i="17"/>
  <c r="H101" i="17" s="1"/>
  <c r="I31" i="17"/>
  <c r="I66" i="17" s="1"/>
  <c r="I101" i="17" s="1"/>
  <c r="J63" i="17"/>
  <c r="K28" i="17"/>
  <c r="K62" i="17"/>
  <c r="J97" i="17"/>
  <c r="K97" i="17" s="1"/>
  <c r="I22" i="17"/>
  <c r="I57" i="17" s="1"/>
  <c r="I92" i="17" s="1"/>
  <c r="H56" i="17"/>
  <c r="H91" i="17" s="1"/>
  <c r="H55" i="17"/>
  <c r="H90" i="17" s="1"/>
  <c r="I20" i="17"/>
  <c r="I55" i="17" s="1"/>
  <c r="I90" i="17" s="1"/>
  <c r="I27" i="24"/>
  <c r="J27" i="24"/>
  <c r="I21" i="24"/>
  <c r="J21" i="24"/>
  <c r="B326" i="16"/>
  <c r="B423" i="9"/>
  <c r="B432" i="16" s="1"/>
  <c r="H62" i="17"/>
  <c r="H97" i="17" s="1"/>
  <c r="I27" i="17"/>
  <c r="I62" i="17" s="1"/>
  <c r="I97" i="17" s="1"/>
  <c r="H59" i="17"/>
  <c r="H94" i="17" s="1"/>
  <c r="I24" i="17"/>
  <c r="I59" i="17" s="1"/>
  <c r="I94" i="17" s="1"/>
  <c r="H50" i="17"/>
  <c r="H85" i="17" s="1"/>
  <c r="I15" i="17"/>
  <c r="I50" i="17" s="1"/>
  <c r="I85" i="17" s="1"/>
  <c r="K11" i="17"/>
  <c r="J46" i="17"/>
  <c r="K42" i="17"/>
  <c r="J77" i="17"/>
  <c r="K77" i="17" s="1"/>
  <c r="I107" i="17"/>
  <c r="I142" i="17" s="1"/>
  <c r="I177" i="17" s="1"/>
  <c r="H142" i="17"/>
  <c r="H177" i="17" s="1"/>
  <c r="H144" i="17"/>
  <c r="H179" i="17" s="1"/>
  <c r="I109" i="17"/>
  <c r="I144" i="17" s="1"/>
  <c r="I179" i="17" s="1"/>
  <c r="J186" i="17"/>
  <c r="K151" i="17"/>
  <c r="K186" i="17" s="1"/>
  <c r="J200" i="17"/>
  <c r="K165" i="17"/>
  <c r="K200" i="17" s="1"/>
  <c r="I137" i="17"/>
  <c r="I172" i="17" s="1"/>
  <c r="I207" i="17" s="1"/>
  <c r="H172" i="17"/>
  <c r="H207" i="17" s="1"/>
  <c r="K174" i="17"/>
  <c r="K209" i="17" s="1"/>
  <c r="J209" i="17"/>
  <c r="I213" i="17"/>
  <c r="I248" i="17" s="1"/>
  <c r="I283" i="17" s="1"/>
  <c r="H248" i="17"/>
  <c r="H283" i="17" s="1"/>
  <c r="I216" i="17"/>
  <c r="I251" i="17" s="1"/>
  <c r="I286" i="17" s="1"/>
  <c r="H251" i="17"/>
  <c r="H286" i="17" s="1"/>
  <c r="I219" i="17"/>
  <c r="I254" i="17" s="1"/>
  <c r="I289" i="17" s="1"/>
  <c r="H254" i="17"/>
  <c r="H289" i="17" s="1"/>
  <c r="I222" i="17"/>
  <c r="I257" i="17" s="1"/>
  <c r="I292" i="17" s="1"/>
  <c r="H257" i="17"/>
  <c r="H292" i="17" s="1"/>
  <c r="I225" i="17"/>
  <c r="I260" i="17" s="1"/>
  <c r="I295" i="17" s="1"/>
  <c r="H260" i="17"/>
  <c r="H295" i="17" s="1"/>
  <c r="I228" i="17"/>
  <c r="I263" i="17" s="1"/>
  <c r="I298" i="17" s="1"/>
  <c r="H263" i="17"/>
  <c r="H298" i="17" s="1"/>
  <c r="I230" i="17"/>
  <c r="I265" i="17" s="1"/>
  <c r="I300" i="17" s="1"/>
  <c r="H265" i="17"/>
  <c r="H300" i="17" s="1"/>
  <c r="I234" i="17"/>
  <c r="I269" i="17" s="1"/>
  <c r="I304" i="17" s="1"/>
  <c r="H269" i="17"/>
  <c r="H304" i="17" s="1"/>
  <c r="I238" i="17"/>
  <c r="I273" i="17" s="1"/>
  <c r="I308" i="17" s="1"/>
  <c r="H273" i="17"/>
  <c r="H308" i="17" s="1"/>
  <c r="S32" i="16"/>
  <c r="S29" i="16"/>
  <c r="S33" i="16"/>
  <c r="S36" i="16"/>
  <c r="S24" i="16"/>
  <c r="S38" i="16"/>
  <c r="B251" i="16"/>
  <c r="B218" i="9"/>
  <c r="B121" i="16"/>
  <c r="W63" i="24"/>
  <c r="Y63" i="24" s="1"/>
  <c r="W47" i="24"/>
  <c r="Y47" i="24" s="1"/>
  <c r="I16" i="24"/>
  <c r="B417" i="9"/>
  <c r="B426" i="16" s="1"/>
  <c r="B305" i="9"/>
  <c r="B208" i="16"/>
  <c r="B408" i="9"/>
  <c r="B417" i="16" s="1"/>
  <c r="S69" i="16"/>
  <c r="V22" i="16"/>
  <c r="V54" i="16"/>
  <c r="K35" i="17"/>
  <c r="J70" i="17"/>
  <c r="J69" i="17"/>
  <c r="K34" i="17"/>
  <c r="J68" i="17"/>
  <c r="K33" i="17"/>
  <c r="J94" i="17"/>
  <c r="K94" i="17" s="1"/>
  <c r="K59" i="17"/>
  <c r="J58" i="17"/>
  <c r="J57" i="17"/>
  <c r="K22" i="17"/>
  <c r="I17" i="17"/>
  <c r="I52" i="17" s="1"/>
  <c r="I87" i="17" s="1"/>
  <c r="H52" i="17"/>
  <c r="H87" i="17" s="1"/>
  <c r="J48" i="17"/>
  <c r="K13" i="17"/>
  <c r="H48" i="17"/>
  <c r="H83" i="17" s="1"/>
  <c r="I13" i="17"/>
  <c r="I48" i="17" s="1"/>
  <c r="I83" i="17" s="1"/>
  <c r="X42" i="24"/>
  <c r="Y42" i="24" s="1"/>
  <c r="X38" i="24"/>
  <c r="Y38" i="24" s="1"/>
  <c r="X34" i="24"/>
  <c r="Y34" i="24" s="1"/>
  <c r="X30" i="24"/>
  <c r="Y30" i="24" s="1"/>
  <c r="H2" i="17"/>
  <c r="V85" i="16"/>
  <c r="V81" i="16"/>
  <c r="V77" i="16"/>
  <c r="V73" i="16"/>
  <c r="V69" i="16"/>
  <c r="V65" i="16"/>
  <c r="V61" i="16"/>
  <c r="V57" i="16"/>
  <c r="V53" i="16"/>
  <c r="V49" i="16"/>
  <c r="V45" i="16"/>
  <c r="V41" i="16"/>
  <c r="V37" i="16"/>
  <c r="V33" i="16"/>
  <c r="V29" i="16"/>
  <c r="V25" i="16"/>
  <c r="V21" i="16"/>
  <c r="V17" i="16"/>
  <c r="V13" i="16"/>
  <c r="S84" i="16"/>
  <c r="S80" i="16"/>
  <c r="S76" i="16"/>
  <c r="S72" i="16"/>
  <c r="S68" i="16"/>
  <c r="S64" i="16"/>
  <c r="S60" i="16"/>
  <c r="S56" i="16"/>
  <c r="S52" i="16"/>
  <c r="S48" i="16"/>
  <c r="S44" i="16"/>
  <c r="S20" i="16"/>
  <c r="S34" i="16"/>
  <c r="S18" i="16"/>
  <c r="V84" i="16"/>
  <c r="V80" i="16"/>
  <c r="V76" i="16"/>
  <c r="V72" i="16"/>
  <c r="V68" i="16"/>
  <c r="V64" i="16"/>
  <c r="V60" i="16"/>
  <c r="V56" i="16"/>
  <c r="V52" i="16"/>
  <c r="V48" i="16"/>
  <c r="V44" i="16"/>
  <c r="V40" i="16"/>
  <c r="V36" i="16"/>
  <c r="V32" i="16"/>
  <c r="V28" i="16"/>
  <c r="V24" i="16"/>
  <c r="V20" i="16"/>
  <c r="V16" i="16"/>
  <c r="V12" i="16"/>
  <c r="S83" i="16"/>
  <c r="S79" i="16"/>
  <c r="S75" i="16"/>
  <c r="S71" i="16"/>
  <c r="S67" i="16"/>
  <c r="S63" i="16"/>
  <c r="S59" i="16"/>
  <c r="S55" i="16"/>
  <c r="S51" i="16"/>
  <c r="S47" i="16"/>
  <c r="S43" i="16"/>
  <c r="S19" i="16"/>
  <c r="S31" i="16"/>
  <c r="S15" i="16"/>
  <c r="V83" i="16"/>
  <c r="V79" i="16"/>
  <c r="V75" i="16"/>
  <c r="V71" i="16"/>
  <c r="V67" i="16"/>
  <c r="V63" i="16"/>
  <c r="V59" i="16"/>
  <c r="V55" i="16"/>
  <c r="V51" i="16"/>
  <c r="V47" i="16"/>
  <c r="V43" i="16"/>
  <c r="V39" i="16"/>
  <c r="V35" i="16"/>
  <c r="V31" i="16"/>
  <c r="V27" i="16"/>
  <c r="V23" i="16"/>
  <c r="V19" i="16"/>
  <c r="V15" i="16"/>
  <c r="S82" i="16"/>
  <c r="S78" i="16"/>
  <c r="S74" i="16"/>
  <c r="S70" i="16"/>
  <c r="S66" i="16"/>
  <c r="S62" i="16"/>
  <c r="S58" i="16"/>
  <c r="S54" i="16"/>
  <c r="S50" i="16"/>
  <c r="S46" i="16"/>
  <c r="S42" i="16"/>
  <c r="S22" i="16"/>
  <c r="S40" i="16"/>
  <c r="S28" i="16"/>
  <c r="H70" i="17"/>
  <c r="H105" i="17" s="1"/>
  <c r="I35" i="17"/>
  <c r="I70" i="17" s="1"/>
  <c r="I105" i="17" s="1"/>
  <c r="K66" i="17"/>
  <c r="J101" i="17"/>
  <c r="K101" i="17" s="1"/>
  <c r="H63" i="17"/>
  <c r="H98" i="17" s="1"/>
  <c r="I28" i="17"/>
  <c r="I63" i="17" s="1"/>
  <c r="I98" i="17" s="1"/>
  <c r="J61" i="17"/>
  <c r="K26" i="17"/>
  <c r="J56" i="17"/>
  <c r="K21" i="17"/>
  <c r="H54" i="17"/>
  <c r="H89" i="17" s="1"/>
  <c r="I19" i="17"/>
  <c r="I54" i="17" s="1"/>
  <c r="I89" i="17" s="1"/>
  <c r="K50" i="17"/>
  <c r="J85" i="17"/>
  <c r="K85" i="17" s="1"/>
  <c r="J82" i="17"/>
  <c r="K82" i="17" s="1"/>
  <c r="K47" i="17"/>
  <c r="H42" i="17"/>
  <c r="H77" i="17" s="1"/>
  <c r="I7" i="17"/>
  <c r="I42" i="17" s="1"/>
  <c r="I77" i="17" s="1"/>
  <c r="H67" i="17"/>
  <c r="H102" i="17" s="1"/>
  <c r="I32" i="17"/>
  <c r="I67" i="17" s="1"/>
  <c r="I102" i="17" s="1"/>
  <c r="J65" i="17"/>
  <c r="K30" i="17"/>
  <c r="J60" i="17"/>
  <c r="K25" i="17"/>
  <c r="H58" i="17"/>
  <c r="H93" i="17" s="1"/>
  <c r="I23" i="17"/>
  <c r="I58" i="17" s="1"/>
  <c r="I93" i="17" s="1"/>
  <c r="H51" i="17"/>
  <c r="H86" i="17" s="1"/>
  <c r="I16" i="17"/>
  <c r="I51" i="17" s="1"/>
  <c r="I86" i="17" s="1"/>
  <c r="J49" i="17"/>
  <c r="K14" i="17"/>
  <c r="H47" i="17"/>
  <c r="H82" i="17" s="1"/>
  <c r="I12" i="17"/>
  <c r="I47" i="17" s="1"/>
  <c r="I82" i="17" s="1"/>
  <c r="K41" i="17"/>
  <c r="J76" i="17"/>
  <c r="K76" i="17" s="1"/>
  <c r="H143" i="17"/>
  <c r="H178" i="17" s="1"/>
  <c r="I108" i="17"/>
  <c r="I143" i="17" s="1"/>
  <c r="I178" i="17" s="1"/>
  <c r="I110" i="17"/>
  <c r="I145" i="17" s="1"/>
  <c r="I180" i="17" s="1"/>
  <c r="H145" i="17"/>
  <c r="H180" i="17" s="1"/>
  <c r="H146" i="17"/>
  <c r="H181" i="17" s="1"/>
  <c r="I111" i="17"/>
  <c r="I146" i="17" s="1"/>
  <c r="I181" i="17" s="1"/>
  <c r="K148" i="17"/>
  <c r="K183" i="17" s="1"/>
  <c r="J183" i="17"/>
  <c r="K149" i="17"/>
  <c r="K184" i="17" s="1"/>
  <c r="J184" i="17"/>
  <c r="K150" i="17"/>
  <c r="K185" i="17" s="1"/>
  <c r="J185" i="17"/>
  <c r="H153" i="17"/>
  <c r="H188" i="17" s="1"/>
  <c r="I118" i="17"/>
  <c r="I153" i="17" s="1"/>
  <c r="I188" i="17" s="1"/>
  <c r="H154" i="17"/>
  <c r="H189" i="17" s="1"/>
  <c r="I119" i="17"/>
  <c r="I154" i="17" s="1"/>
  <c r="I189" i="17" s="1"/>
  <c r="J196" i="17"/>
  <c r="K161" i="17"/>
  <c r="K196" i="17" s="1"/>
  <c r="J162" i="17"/>
  <c r="K127" i="17"/>
  <c r="K164" i="17"/>
  <c r="K199" i="17" s="1"/>
  <c r="J199" i="17"/>
  <c r="H167" i="17"/>
  <c r="H202" i="17" s="1"/>
  <c r="I132" i="17"/>
  <c r="I167" i="17" s="1"/>
  <c r="I202" i="17" s="1"/>
  <c r="H170" i="17"/>
  <c r="H205" i="17" s="1"/>
  <c r="I135" i="17"/>
  <c r="I170" i="17" s="1"/>
  <c r="I205" i="17" s="1"/>
  <c r="K171" i="17"/>
  <c r="K206" i="17" s="1"/>
  <c r="J206" i="17"/>
  <c r="H39" i="17"/>
  <c r="H74" i="17" s="1"/>
  <c r="J179" i="17"/>
  <c r="K144" i="17"/>
  <c r="K179" i="17" s="1"/>
  <c r="K145" i="17"/>
  <c r="K180" i="17" s="1"/>
  <c r="J180" i="17"/>
  <c r="K146" i="17"/>
  <c r="K181" i="17" s="1"/>
  <c r="J181" i="17"/>
  <c r="H147" i="17"/>
  <c r="H182" i="17" s="1"/>
  <c r="I112" i="17"/>
  <c r="I147" i="17" s="1"/>
  <c r="I182" i="17" s="1"/>
  <c r="J192" i="17"/>
  <c r="K157" i="17"/>
  <c r="K192" i="17" s="1"/>
  <c r="J158" i="17"/>
  <c r="K123" i="17"/>
  <c r="K160" i="17"/>
  <c r="K195" i="17" s="1"/>
  <c r="J195" i="17"/>
  <c r="H163" i="17"/>
  <c r="H198" i="17" s="1"/>
  <c r="I128" i="17"/>
  <c r="I163" i="17" s="1"/>
  <c r="I198" i="17" s="1"/>
  <c r="H166" i="17"/>
  <c r="H201" i="17" s="1"/>
  <c r="I131" i="17"/>
  <c r="I166" i="17" s="1"/>
  <c r="I201" i="17" s="1"/>
  <c r="I138" i="17"/>
  <c r="I173" i="17" s="1"/>
  <c r="I208" i="17" s="1"/>
  <c r="H173" i="17"/>
  <c r="H208" i="17" s="1"/>
  <c r="K140" i="17"/>
  <c r="J175" i="17"/>
  <c r="K236" i="17"/>
  <c r="K271" i="17" s="1"/>
  <c r="K306" i="17" s="1"/>
  <c r="J271" i="17"/>
  <c r="J306" i="17" s="1"/>
  <c r="K126" i="17"/>
  <c r="J178" i="17"/>
  <c r="K143" i="17"/>
  <c r="K178" i="17" s="1"/>
  <c r="K147" i="17"/>
  <c r="K182" i="17" s="1"/>
  <c r="J182" i="17"/>
  <c r="H148" i="17"/>
  <c r="H183" i="17" s="1"/>
  <c r="I113" i="17"/>
  <c r="I148" i="17" s="1"/>
  <c r="I183" i="17" s="1"/>
  <c r="H149" i="17"/>
  <c r="H184" i="17" s="1"/>
  <c r="I114" i="17"/>
  <c r="I149" i="17" s="1"/>
  <c r="I184" i="17" s="1"/>
  <c r="H150" i="17"/>
  <c r="H185" i="17" s="1"/>
  <c r="I115" i="17"/>
  <c r="I150" i="17" s="1"/>
  <c r="I185" i="17" s="1"/>
  <c r="H152" i="17"/>
  <c r="H187" i="17" s="1"/>
  <c r="I117" i="17"/>
  <c r="I152" i="17" s="1"/>
  <c r="I187" i="17" s="1"/>
  <c r="J187" i="17"/>
  <c r="K152" i="17"/>
  <c r="K187" i="17" s="1"/>
  <c r="J154" i="17"/>
  <c r="K119" i="17"/>
  <c r="K156" i="17"/>
  <c r="K191" i="17" s="1"/>
  <c r="J191" i="17"/>
  <c r="H159" i="17"/>
  <c r="H194" i="17" s="1"/>
  <c r="I124" i="17"/>
  <c r="I159" i="17" s="1"/>
  <c r="I194" i="17" s="1"/>
  <c r="H162" i="17"/>
  <c r="H197" i="17" s="1"/>
  <c r="I127" i="17"/>
  <c r="I162" i="17" s="1"/>
  <c r="I197" i="17" s="1"/>
  <c r="J169" i="17"/>
  <c r="K134" i="17"/>
  <c r="J205" i="17"/>
  <c r="K170" i="17"/>
  <c r="K205" i="17" s="1"/>
  <c r="H174" i="17"/>
  <c r="H209" i="17" s="1"/>
  <c r="I139" i="17"/>
  <c r="I174" i="17" s="1"/>
  <c r="I209" i="17" s="1"/>
  <c r="I239" i="17"/>
  <c r="I274" i="17" s="1"/>
  <c r="I309" i="17" s="1"/>
  <c r="H274" i="17"/>
  <c r="H309" i="17" s="1"/>
  <c r="I242" i="17"/>
  <c r="I277" i="17" s="1"/>
  <c r="I312" i="17" s="1"/>
  <c r="H277" i="17"/>
  <c r="H312" i="17" s="1"/>
  <c r="K238" i="17"/>
  <c r="K273" i="17" s="1"/>
  <c r="K308" i="17" s="1"/>
  <c r="J273" i="17"/>
  <c r="J308" i="17" s="1"/>
  <c r="K242" i="17"/>
  <c r="K277" i="17" s="1"/>
  <c r="K312" i="17" s="1"/>
  <c r="J277" i="17"/>
  <c r="J312" i="17" s="1"/>
  <c r="J190" i="17"/>
  <c r="J194" i="17"/>
  <c r="J198" i="17"/>
  <c r="J202" i="17"/>
  <c r="J211" i="17"/>
  <c r="J247" i="17"/>
  <c r="J282" i="17" s="1"/>
  <c r="J248" i="17"/>
  <c r="J283" i="17" s="1"/>
  <c r="J249" i="17"/>
  <c r="J284" i="17" s="1"/>
  <c r="J250" i="17"/>
  <c r="J285" i="17" s="1"/>
  <c r="J251" i="17"/>
  <c r="J286" i="17" s="1"/>
  <c r="J252" i="17"/>
  <c r="J287" i="17" s="1"/>
  <c r="J253" i="17"/>
  <c r="J288" i="17" s="1"/>
  <c r="J254" i="17"/>
  <c r="J289" i="17" s="1"/>
  <c r="J255" i="17"/>
  <c r="J290" i="17" s="1"/>
  <c r="J256" i="17"/>
  <c r="J291" i="17" s="1"/>
  <c r="J257" i="17"/>
  <c r="J292" i="17" s="1"/>
  <c r="J258" i="17"/>
  <c r="J293" i="17" s="1"/>
  <c r="J259" i="17"/>
  <c r="J294" i="17" s="1"/>
  <c r="J260" i="17"/>
  <c r="J295" i="17" s="1"/>
  <c r="J261" i="17"/>
  <c r="J296" i="17" s="1"/>
  <c r="J262" i="17"/>
  <c r="J297" i="17" s="1"/>
  <c r="J263" i="17"/>
  <c r="J298" i="17" s="1"/>
  <c r="J264" i="17"/>
  <c r="J299" i="17" s="1"/>
  <c r="J265" i="17"/>
  <c r="J300" i="17" s="1"/>
  <c r="J266" i="17"/>
  <c r="J301" i="17" s="1"/>
  <c r="J267" i="17"/>
  <c r="J302" i="17" s="1"/>
  <c r="J268" i="17"/>
  <c r="J303" i="17" s="1"/>
  <c r="J269" i="17"/>
  <c r="J304" i="17" s="1"/>
  <c r="J270" i="17"/>
  <c r="J305" i="17" s="1"/>
  <c r="K237" i="17"/>
  <c r="K272" i="17" s="1"/>
  <c r="K307" i="17" s="1"/>
  <c r="J272" i="17"/>
  <c r="J307" i="17" s="1"/>
  <c r="K241" i="17"/>
  <c r="K276" i="17" s="1"/>
  <c r="K311" i="17" s="1"/>
  <c r="J276" i="17"/>
  <c r="J311" i="17" s="1"/>
  <c r="H278" i="17"/>
  <c r="H313" i="17" s="1"/>
  <c r="H272" i="17"/>
  <c r="H307" i="17" s="1"/>
  <c r="K240" i="17"/>
  <c r="K275" i="17" s="1"/>
  <c r="K310" i="17" s="1"/>
  <c r="J275" i="17"/>
  <c r="J310" i="17" s="1"/>
  <c r="K173" i="17"/>
  <c r="K208" i="17" s="1"/>
  <c r="K239" i="17"/>
  <c r="K274" i="17" s="1"/>
  <c r="K309" i="17" s="1"/>
  <c r="J274" i="17"/>
  <c r="J309" i="17" s="1"/>
  <c r="H276" i="17"/>
  <c r="H311" i="17" s="1"/>
  <c r="H366" i="17"/>
  <c r="H400" i="17" s="1"/>
  <c r="I332" i="17"/>
  <c r="I366" i="17" s="1"/>
  <c r="I400" i="17" s="1"/>
  <c r="H378" i="17"/>
  <c r="H412" i="17" s="1"/>
  <c r="I344" i="17"/>
  <c r="I378" i="17" s="1"/>
  <c r="I412" i="17" s="1"/>
  <c r="J355" i="17"/>
  <c r="J389" i="17" s="1"/>
  <c r="K321" i="17"/>
  <c r="K355" i="17" s="1"/>
  <c r="K389" i="17" s="1"/>
  <c r="H356" i="17"/>
  <c r="H390" i="17" s="1"/>
  <c r="I322" i="17"/>
  <c r="I356" i="17" s="1"/>
  <c r="I390" i="17" s="1"/>
  <c r="J356" i="17"/>
  <c r="J390" i="17" s="1"/>
  <c r="K322" i="17"/>
  <c r="K356" i="17" s="1"/>
  <c r="K390" i="17" s="1"/>
  <c r="H357" i="17"/>
  <c r="H391" i="17" s="1"/>
  <c r="I323" i="17"/>
  <c r="I357" i="17" s="1"/>
  <c r="I391" i="17" s="1"/>
  <c r="J357" i="17"/>
  <c r="J391" i="17" s="1"/>
  <c r="K323" i="17"/>
  <c r="K357" i="17" s="1"/>
  <c r="K391" i="17" s="1"/>
  <c r="H358" i="17"/>
  <c r="H392" i="17" s="1"/>
  <c r="I324" i="17"/>
  <c r="I358" i="17" s="1"/>
  <c r="I392" i="17" s="1"/>
  <c r="J358" i="17"/>
  <c r="J392" i="17" s="1"/>
  <c r="K324" i="17"/>
  <c r="K358" i="17" s="1"/>
  <c r="K392" i="17" s="1"/>
  <c r="H359" i="17"/>
  <c r="H393" i="17" s="1"/>
  <c r="I325" i="17"/>
  <c r="I359" i="17" s="1"/>
  <c r="I393" i="17" s="1"/>
  <c r="J359" i="17"/>
  <c r="J393" i="17" s="1"/>
  <c r="K325" i="17"/>
  <c r="K359" i="17" s="1"/>
  <c r="K393" i="17" s="1"/>
  <c r="H360" i="17"/>
  <c r="H394" i="17" s="1"/>
  <c r="I326" i="17"/>
  <c r="I360" i="17" s="1"/>
  <c r="I394" i="17" s="1"/>
  <c r="J360" i="17"/>
  <c r="J394" i="17" s="1"/>
  <c r="K326" i="17"/>
  <c r="K360" i="17" s="1"/>
  <c r="K394" i="17" s="1"/>
  <c r="H361" i="17"/>
  <c r="H395" i="17" s="1"/>
  <c r="I327" i="17"/>
  <c r="I361" i="17" s="1"/>
  <c r="I395" i="17" s="1"/>
  <c r="J361" i="17"/>
  <c r="J395" i="17" s="1"/>
  <c r="K327" i="17"/>
  <c r="K361" i="17" s="1"/>
  <c r="K395" i="17" s="1"/>
  <c r="H362" i="17"/>
  <c r="H396" i="17" s="1"/>
  <c r="I328" i="17"/>
  <c r="I362" i="17" s="1"/>
  <c r="I396" i="17" s="1"/>
  <c r="J362" i="17"/>
  <c r="J396" i="17" s="1"/>
  <c r="K328" i="17"/>
  <c r="K362" i="17" s="1"/>
  <c r="K396" i="17" s="1"/>
  <c r="H363" i="17"/>
  <c r="H397" i="17" s="1"/>
  <c r="I329" i="17"/>
  <c r="I363" i="17" s="1"/>
  <c r="I397" i="17" s="1"/>
  <c r="J363" i="17"/>
  <c r="J397" i="17" s="1"/>
  <c r="K329" i="17"/>
  <c r="K363" i="17" s="1"/>
  <c r="K397" i="17" s="1"/>
  <c r="H364" i="17"/>
  <c r="H398" i="17" s="1"/>
  <c r="I330" i="17"/>
  <c r="I364" i="17" s="1"/>
  <c r="I398" i="17" s="1"/>
  <c r="J364" i="17"/>
  <c r="J398" i="17" s="1"/>
  <c r="K330" i="17"/>
  <c r="K364" i="17" s="1"/>
  <c r="K398" i="17" s="1"/>
  <c r="H365" i="17"/>
  <c r="H399" i="17" s="1"/>
  <c r="I331" i="17"/>
  <c r="I365" i="17" s="1"/>
  <c r="I399" i="17" s="1"/>
  <c r="H370" i="17"/>
  <c r="H404" i="17" s="1"/>
  <c r="I336" i="17"/>
  <c r="I370" i="17" s="1"/>
  <c r="I404" i="17" s="1"/>
  <c r="H368" i="17"/>
  <c r="H402" i="17" s="1"/>
  <c r="I334" i="17"/>
  <c r="I368" i="17" s="1"/>
  <c r="I402" i="17" s="1"/>
  <c r="J377" i="17"/>
  <c r="J411" i="17" s="1"/>
  <c r="K343" i="17"/>
  <c r="K377" i="17" s="1"/>
  <c r="K411" i="17" s="1"/>
  <c r="J378" i="17"/>
  <c r="J412" i="17" s="1"/>
  <c r="K344" i="17"/>
  <c r="K378" i="17" s="1"/>
  <c r="K412" i="17" s="1"/>
  <c r="J278" i="17"/>
  <c r="J313" i="17" s="1"/>
  <c r="H279" i="17"/>
  <c r="H314" i="17" s="1"/>
  <c r="J279" i="17"/>
  <c r="J314" i="17" s="1"/>
  <c r="H280" i="17"/>
  <c r="H315" i="17" s="1"/>
  <c r="J280" i="17"/>
  <c r="J315" i="17" s="1"/>
  <c r="H281" i="17"/>
  <c r="H316" i="17" s="1"/>
  <c r="J281" i="17"/>
  <c r="J316" i="17" s="1"/>
  <c r="H354" i="17"/>
  <c r="H388" i="17" s="1"/>
  <c r="J354" i="17"/>
  <c r="J388" i="17" s="1"/>
  <c r="H355" i="17"/>
  <c r="H389" i="17" s="1"/>
  <c r="H367" i="17"/>
  <c r="H401" i="17" s="1"/>
  <c r="I333" i="17"/>
  <c r="I367" i="17" s="1"/>
  <c r="I401" i="17" s="1"/>
  <c r="J368" i="17"/>
  <c r="J402" i="17" s="1"/>
  <c r="K334" i="17"/>
  <c r="K368" i="17" s="1"/>
  <c r="K402" i="17" s="1"/>
  <c r="J369" i="17"/>
  <c r="J403" i="17" s="1"/>
  <c r="K335" i="17"/>
  <c r="K369" i="17" s="1"/>
  <c r="K403" i="17" s="1"/>
  <c r="J370" i="17"/>
  <c r="J404" i="17" s="1"/>
  <c r="K336" i="17"/>
  <c r="K370" i="17" s="1"/>
  <c r="K404" i="17" s="1"/>
  <c r="K331" i="17"/>
  <c r="K365" i="17" s="1"/>
  <c r="K399" i="17" s="1"/>
  <c r="K332" i="17"/>
  <c r="K366" i="17" s="1"/>
  <c r="K400" i="17" s="1"/>
  <c r="K333" i="17"/>
  <c r="K367" i="17" s="1"/>
  <c r="K401" i="17" s="1"/>
  <c r="J371" i="17"/>
  <c r="J405" i="17" s="1"/>
  <c r="K337" i="17"/>
  <c r="K371" i="17" s="1"/>
  <c r="K405" i="17" s="1"/>
  <c r="I340" i="17"/>
  <c r="I374" i="17" s="1"/>
  <c r="I408" i="17" s="1"/>
  <c r="K340" i="17"/>
  <c r="K374" i="17" s="1"/>
  <c r="K408" i="17" s="1"/>
  <c r="J379" i="17"/>
  <c r="J413" i="17" s="1"/>
  <c r="K345" i="17"/>
  <c r="K379" i="17" s="1"/>
  <c r="K413" i="17" s="1"/>
  <c r="I348" i="17"/>
  <c r="I382" i="17" s="1"/>
  <c r="I416" i="17" s="1"/>
  <c r="K348" i="17"/>
  <c r="K382" i="17" s="1"/>
  <c r="K416" i="17" s="1"/>
  <c r="J373" i="17"/>
  <c r="J407" i="17" s="1"/>
  <c r="K339" i="17"/>
  <c r="K373" i="17" s="1"/>
  <c r="K407" i="17" s="1"/>
  <c r="J381" i="17"/>
  <c r="J415" i="17" s="1"/>
  <c r="K347" i="17"/>
  <c r="K381" i="17" s="1"/>
  <c r="K415" i="17" s="1"/>
  <c r="I350" i="17"/>
  <c r="I384" i="17" s="1"/>
  <c r="I418" i="17" s="1"/>
  <c r="K350" i="17"/>
  <c r="K384" i="17" s="1"/>
  <c r="K418" i="17" s="1"/>
  <c r="J375" i="17"/>
  <c r="J409" i="17" s="1"/>
  <c r="K341" i="17"/>
  <c r="K375" i="17" s="1"/>
  <c r="K409" i="17" s="1"/>
  <c r="J383" i="17"/>
  <c r="J417" i="17" s="1"/>
  <c r="K349" i="17"/>
  <c r="K383" i="17" s="1"/>
  <c r="K417" i="17" s="1"/>
  <c r="J385" i="17"/>
  <c r="J419" i="17" s="1"/>
  <c r="K351" i="17"/>
  <c r="K385" i="17" s="1"/>
  <c r="K419" i="17" s="1"/>
  <c r="M33" i="18"/>
  <c r="D19" i="18"/>
  <c r="G19" i="18" s="1"/>
  <c r="E17" i="18"/>
  <c r="E318" i="17"/>
  <c r="G318" i="17" s="1"/>
  <c r="E357" i="17"/>
  <c r="G357" i="17" s="1"/>
  <c r="K331" i="9"/>
  <c r="L247" i="9"/>
  <c r="L142" i="9"/>
  <c r="E150" i="17"/>
  <c r="K116" i="9"/>
  <c r="E44" i="17"/>
  <c r="F17" i="18"/>
  <c r="E149" i="17"/>
  <c r="E114" i="17"/>
  <c r="K322" i="9"/>
  <c r="G355" i="17"/>
  <c r="F355" i="17"/>
  <c r="F320" i="17"/>
  <c r="G321" i="17"/>
  <c r="F353" i="17"/>
  <c r="G359" i="17"/>
  <c r="F324" i="17"/>
  <c r="G324" i="17"/>
  <c r="F322" i="17"/>
  <c r="G322" i="17"/>
  <c r="G395" i="17"/>
  <c r="E325" i="17"/>
  <c r="L355" i="9"/>
  <c r="L340" i="9"/>
  <c r="L347" i="9"/>
  <c r="L339" i="9"/>
  <c r="E393" i="17"/>
  <c r="M165" i="8"/>
  <c r="C323" i="17"/>
  <c r="E323" i="17"/>
  <c r="C322" i="17"/>
  <c r="F357" i="17"/>
  <c r="K351" i="9"/>
  <c r="G391" i="17"/>
  <c r="C321" i="17"/>
  <c r="E356" i="17"/>
  <c r="L352" i="9"/>
  <c r="L344" i="9"/>
  <c r="L334" i="9"/>
  <c r="L329" i="9"/>
  <c r="D320" i="17"/>
  <c r="M111" i="8"/>
  <c r="L351" i="9"/>
  <c r="L343" i="9"/>
  <c r="L326" i="9"/>
  <c r="D390" i="17"/>
  <c r="D355" i="17"/>
  <c r="L348" i="9"/>
  <c r="L333" i="9"/>
  <c r="L325" i="9"/>
  <c r="D319" i="17"/>
  <c r="D389" i="17"/>
  <c r="M216" i="8"/>
  <c r="M192" i="8"/>
  <c r="M171" i="8"/>
  <c r="L354" i="9"/>
  <c r="L350" i="9"/>
  <c r="L346" i="9"/>
  <c r="L342" i="9"/>
  <c r="L338" i="9"/>
  <c r="L330" i="9"/>
  <c r="L322" i="9"/>
  <c r="M222" i="8"/>
  <c r="M138" i="8"/>
  <c r="M132" i="8"/>
  <c r="M48" i="8"/>
  <c r="L353" i="9"/>
  <c r="L349" i="9"/>
  <c r="L345" i="9"/>
  <c r="L341" i="9"/>
  <c r="L337" i="9"/>
  <c r="L323" i="9"/>
  <c r="C319" i="17"/>
  <c r="C389" i="17"/>
  <c r="M207" i="8"/>
  <c r="M183" i="8"/>
  <c r="M177" i="8"/>
  <c r="M94" i="8"/>
  <c r="M55" i="8"/>
  <c r="K346" i="9"/>
  <c r="M12" i="8"/>
  <c r="K323" i="9"/>
  <c r="E319" i="17"/>
  <c r="M225" i="8"/>
  <c r="M219" i="8"/>
  <c r="M195" i="8"/>
  <c r="M189" i="8"/>
  <c r="M168" i="8"/>
  <c r="M153" i="8"/>
  <c r="M27" i="8"/>
  <c r="K335" i="9"/>
  <c r="E354" i="17"/>
  <c r="M210" i="8"/>
  <c r="M204" i="8"/>
  <c r="M180" i="8"/>
  <c r="M159" i="8"/>
  <c r="M126" i="8"/>
  <c r="M120" i="8"/>
  <c r="M108" i="8"/>
  <c r="M97" i="8"/>
  <c r="M70" i="8"/>
  <c r="K355" i="9"/>
  <c r="K343" i="9"/>
  <c r="K330" i="9"/>
  <c r="M135" i="8"/>
  <c r="M61" i="8"/>
  <c r="M45" i="8"/>
  <c r="K354" i="9"/>
  <c r="K339" i="9"/>
  <c r="M391" i="9"/>
  <c r="Q391" i="9"/>
  <c r="O391" i="9"/>
  <c r="P391" i="9"/>
  <c r="L336" i="9"/>
  <c r="L332" i="9"/>
  <c r="L328" i="9"/>
  <c r="L324" i="9"/>
  <c r="L335" i="9"/>
  <c r="L331" i="9"/>
  <c r="L327" i="9"/>
  <c r="F352" i="17"/>
  <c r="G352" i="17"/>
  <c r="M21" i="8"/>
  <c r="K324" i="9"/>
  <c r="K328" i="9"/>
  <c r="K332" i="9"/>
  <c r="K336" i="9"/>
  <c r="K340" i="9"/>
  <c r="K344" i="9"/>
  <c r="K348" i="9"/>
  <c r="K352" i="9"/>
  <c r="M36" i="8"/>
  <c r="M67" i="8"/>
  <c r="M79" i="8"/>
  <c r="M91" i="8"/>
  <c r="M105" i="8"/>
  <c r="M117" i="8"/>
  <c r="M129" i="8"/>
  <c r="M141" i="8"/>
  <c r="M156" i="8"/>
  <c r="M9" i="8"/>
  <c r="N391" i="9"/>
  <c r="K321" i="9"/>
  <c r="K325" i="9"/>
  <c r="K329" i="9"/>
  <c r="K333" i="9"/>
  <c r="K337" i="9"/>
  <c r="K341" i="9"/>
  <c r="K345" i="9"/>
  <c r="K349" i="9"/>
  <c r="K353" i="9"/>
  <c r="M30" i="8"/>
  <c r="M33" i="8"/>
  <c r="M64" i="8"/>
  <c r="K326" i="9"/>
  <c r="K334" i="9"/>
  <c r="K342" i="9"/>
  <c r="K350" i="9"/>
  <c r="M42" i="8"/>
  <c r="M82" i="8"/>
  <c r="M85" i="8"/>
  <c r="M102" i="8"/>
  <c r="M114" i="8"/>
  <c r="M123" i="8"/>
  <c r="M144" i="8"/>
  <c r="M147" i="8"/>
  <c r="M162" i="8"/>
  <c r="M174" i="8"/>
  <c r="M186" i="8"/>
  <c r="M198" i="8"/>
  <c r="M213" i="8"/>
  <c r="M88" i="8"/>
  <c r="M76" i="8"/>
  <c r="M73" i="8"/>
  <c r="M39" i="8"/>
  <c r="K347" i="9"/>
  <c r="K338" i="9"/>
  <c r="K327" i="9"/>
  <c r="M58" i="8"/>
  <c r="M52" i="8"/>
  <c r="G250" i="17"/>
  <c r="F250" i="17"/>
  <c r="G255" i="17"/>
  <c r="F255" i="17"/>
  <c r="G220" i="17"/>
  <c r="G254" i="17"/>
  <c r="G214" i="17"/>
  <c r="F214" i="17"/>
  <c r="F253" i="17"/>
  <c r="G253" i="17"/>
  <c r="G290" i="17"/>
  <c r="F290" i="17"/>
  <c r="C220" i="17"/>
  <c r="G289" i="17"/>
  <c r="G219" i="17"/>
  <c r="L223" i="9"/>
  <c r="L218" i="9"/>
  <c r="D288" i="17"/>
  <c r="D253" i="17"/>
  <c r="D217" i="17"/>
  <c r="L231" i="9"/>
  <c r="L239" i="9"/>
  <c r="D287" i="17"/>
  <c r="E287" i="17"/>
  <c r="K223" i="9"/>
  <c r="E252" i="17"/>
  <c r="E217" i="17"/>
  <c r="C217" i="17"/>
  <c r="G251" i="17"/>
  <c r="F251" i="17"/>
  <c r="F286" i="17"/>
  <c r="C286" i="17"/>
  <c r="K243" i="9"/>
  <c r="G215" i="17"/>
  <c r="J222" i="8"/>
  <c r="L243" i="9"/>
  <c r="L235" i="9"/>
  <c r="L227" i="9"/>
  <c r="L219" i="9"/>
  <c r="D249" i="17"/>
  <c r="L246" i="9"/>
  <c r="L238" i="9"/>
  <c r="L230" i="9"/>
  <c r="L222" i="9"/>
  <c r="L216" i="9"/>
  <c r="D284" i="17"/>
  <c r="D214" i="17"/>
  <c r="J210" i="8"/>
  <c r="L242" i="9"/>
  <c r="L234" i="9"/>
  <c r="L226" i="9"/>
  <c r="G284" i="17"/>
  <c r="J195" i="8"/>
  <c r="L249" i="9"/>
  <c r="L245" i="9"/>
  <c r="L241" i="9"/>
  <c r="L237" i="9"/>
  <c r="L233" i="9"/>
  <c r="L229" i="9"/>
  <c r="L225" i="9"/>
  <c r="L221" i="9"/>
  <c r="L217" i="9"/>
  <c r="L215" i="9"/>
  <c r="J183" i="8"/>
  <c r="L248" i="9"/>
  <c r="L244" i="9"/>
  <c r="L240" i="9"/>
  <c r="L236" i="9"/>
  <c r="L232" i="9"/>
  <c r="L228" i="9"/>
  <c r="L224" i="9"/>
  <c r="L220" i="9"/>
  <c r="E213" i="17"/>
  <c r="J219" i="8"/>
  <c r="J216" i="8"/>
  <c r="J207" i="8"/>
  <c r="J204" i="8"/>
  <c r="J192" i="8"/>
  <c r="J189" i="8"/>
  <c r="J97" i="8"/>
  <c r="K232" i="9"/>
  <c r="G283" i="17"/>
  <c r="K234" i="9"/>
  <c r="C248" i="17"/>
  <c r="C213" i="17"/>
  <c r="C283" i="17"/>
  <c r="E248" i="17"/>
  <c r="J165" i="8"/>
  <c r="J141" i="8"/>
  <c r="J135" i="8"/>
  <c r="J88" i="8"/>
  <c r="K244" i="9"/>
  <c r="G282" i="17"/>
  <c r="K217" i="9"/>
  <c r="K221" i="9"/>
  <c r="K225" i="9"/>
  <c r="K229" i="9"/>
  <c r="K233" i="9"/>
  <c r="K237" i="9"/>
  <c r="K241" i="9"/>
  <c r="K245" i="9"/>
  <c r="K249" i="9"/>
  <c r="J18" i="8"/>
  <c r="J33" i="8"/>
  <c r="J70" i="8"/>
  <c r="J82" i="8"/>
  <c r="J94" i="8"/>
  <c r="J108" i="8"/>
  <c r="J120" i="8"/>
  <c r="J132" i="8"/>
  <c r="J144" i="8"/>
  <c r="J9" i="8"/>
  <c r="K219" i="9"/>
  <c r="K224" i="9"/>
  <c r="K230" i="9"/>
  <c r="K235" i="9"/>
  <c r="K240" i="9"/>
  <c r="K246" i="9"/>
  <c r="J12" i="8"/>
  <c r="J21" i="8"/>
  <c r="J30" i="8"/>
  <c r="J36" i="8"/>
  <c r="J42" i="8"/>
  <c r="J73" i="8"/>
  <c r="J79" i="8"/>
  <c r="J102" i="8"/>
  <c r="K215" i="9"/>
  <c r="K220" i="9"/>
  <c r="K226" i="9"/>
  <c r="K231" i="9"/>
  <c r="K236" i="9"/>
  <c r="K242" i="9"/>
  <c r="K247" i="9"/>
  <c r="J15" i="8"/>
  <c r="J39" i="8"/>
  <c r="J48" i="8"/>
  <c r="J76" i="8"/>
  <c r="J117" i="8"/>
  <c r="J138" i="8"/>
  <c r="J153" i="8"/>
  <c r="J168" i="8"/>
  <c r="J180" i="8"/>
  <c r="E247" i="17"/>
  <c r="J225" i="8"/>
  <c r="J213" i="8"/>
  <c r="J198" i="8"/>
  <c r="J186" i="8"/>
  <c r="J174" i="8"/>
  <c r="J159" i="8"/>
  <c r="J156" i="8"/>
  <c r="J126" i="8"/>
  <c r="J114" i="8"/>
  <c r="J111" i="8"/>
  <c r="J91" i="8"/>
  <c r="J67" i="8"/>
  <c r="J55" i="8"/>
  <c r="J27" i="8"/>
  <c r="K239" i="9"/>
  <c r="K228" i="9"/>
  <c r="K218" i="9"/>
  <c r="J177" i="8"/>
  <c r="J171" i="8"/>
  <c r="J162" i="8"/>
  <c r="J147" i="8"/>
  <c r="J129" i="8"/>
  <c r="J123" i="8"/>
  <c r="J105" i="8"/>
  <c r="J85" i="8"/>
  <c r="J64" i="8"/>
  <c r="J61" i="8"/>
  <c r="J45" i="8"/>
  <c r="K248" i="9"/>
  <c r="K238" i="9"/>
  <c r="K227" i="9"/>
  <c r="K216" i="9"/>
  <c r="E146" i="17"/>
  <c r="G146" i="17" s="1"/>
  <c r="C181" i="17"/>
  <c r="F142" i="17"/>
  <c r="G142" i="17"/>
  <c r="G147" i="17"/>
  <c r="F112" i="17"/>
  <c r="G108" i="17"/>
  <c r="F108" i="17"/>
  <c r="F114" i="17"/>
  <c r="G114" i="17"/>
  <c r="G144" i="17"/>
  <c r="F144" i="17"/>
  <c r="G150" i="17"/>
  <c r="F150" i="17"/>
  <c r="C115" i="17"/>
  <c r="C150" i="17"/>
  <c r="G149" i="17"/>
  <c r="F149" i="17"/>
  <c r="C114" i="17"/>
  <c r="C184" i="17"/>
  <c r="E184" i="17"/>
  <c r="F183" i="17"/>
  <c r="G148" i="17"/>
  <c r="D182" i="17"/>
  <c r="L122" i="9"/>
  <c r="L134" i="9"/>
  <c r="L111" i="9"/>
  <c r="D112" i="17"/>
  <c r="D147" i="17"/>
  <c r="L138" i="9"/>
  <c r="L130" i="9"/>
  <c r="C111" i="17"/>
  <c r="E181" i="17"/>
  <c r="E111" i="17"/>
  <c r="G55" i="8"/>
  <c r="G186" i="8"/>
  <c r="C146" i="17"/>
  <c r="F145" i="17"/>
  <c r="G110" i="17"/>
  <c r="C145" i="17"/>
  <c r="C180" i="17"/>
  <c r="E180" i="17"/>
  <c r="L118" i="9"/>
  <c r="L114" i="9"/>
  <c r="L110" i="9"/>
  <c r="L181" i="9" s="1"/>
  <c r="D108" i="17"/>
  <c r="G213" i="8"/>
  <c r="L141" i="9"/>
  <c r="L137" i="9"/>
  <c r="L133" i="9"/>
  <c r="L129" i="9"/>
  <c r="L125" i="9"/>
  <c r="L121" i="9"/>
  <c r="L117" i="9"/>
  <c r="L113" i="9"/>
  <c r="D178" i="17"/>
  <c r="D143" i="17"/>
  <c r="G174" i="8"/>
  <c r="L140" i="9"/>
  <c r="L136" i="9"/>
  <c r="L132" i="9"/>
  <c r="L128" i="9"/>
  <c r="L124" i="9"/>
  <c r="L120" i="9"/>
  <c r="L116" i="9"/>
  <c r="L112" i="9"/>
  <c r="L109" i="9"/>
  <c r="G126" i="8"/>
  <c r="G36" i="8"/>
  <c r="L143" i="9"/>
  <c r="L139" i="9"/>
  <c r="L135" i="9"/>
  <c r="L131" i="9"/>
  <c r="L127" i="9"/>
  <c r="L123" i="9"/>
  <c r="L119" i="9"/>
  <c r="L115" i="9"/>
  <c r="F178" i="17"/>
  <c r="E177" i="17"/>
  <c r="G210" i="8"/>
  <c r="G207" i="8"/>
  <c r="K132" i="9"/>
  <c r="C107" i="17"/>
  <c r="G225" i="8"/>
  <c r="G198" i="8"/>
  <c r="G192" i="8"/>
  <c r="G162" i="8"/>
  <c r="K109" i="9"/>
  <c r="K113" i="9"/>
  <c r="K117" i="9"/>
  <c r="K121" i="9"/>
  <c r="K125" i="9"/>
  <c r="K129" i="9"/>
  <c r="K133" i="9"/>
  <c r="K137" i="9"/>
  <c r="K141" i="9"/>
  <c r="G27" i="8"/>
  <c r="G45" i="8"/>
  <c r="G58" i="8"/>
  <c r="G64" i="8"/>
  <c r="G76" i="8"/>
  <c r="G88" i="8"/>
  <c r="G102" i="8"/>
  <c r="G9" i="8"/>
  <c r="K110" i="9"/>
  <c r="K114" i="9"/>
  <c r="K118" i="9"/>
  <c r="K122" i="9"/>
  <c r="K126" i="9"/>
  <c r="K130" i="9"/>
  <c r="K134" i="9"/>
  <c r="K138" i="9"/>
  <c r="K142" i="9"/>
  <c r="G30" i="8"/>
  <c r="G48" i="8"/>
  <c r="G61" i="8"/>
  <c r="G73" i="8"/>
  <c r="G85" i="8"/>
  <c r="G97" i="8"/>
  <c r="G111" i="8"/>
  <c r="G123" i="8"/>
  <c r="G135" i="8"/>
  <c r="K111" i="9"/>
  <c r="K115" i="9"/>
  <c r="K119" i="9"/>
  <c r="K123" i="9"/>
  <c r="K127" i="9"/>
  <c r="K131" i="9"/>
  <c r="K135" i="9"/>
  <c r="K139" i="9"/>
  <c r="K143" i="9"/>
  <c r="G24" i="8"/>
  <c r="G39" i="8"/>
  <c r="G52" i="8"/>
  <c r="G70" i="8"/>
  <c r="G82" i="8"/>
  <c r="G94" i="8"/>
  <c r="G108" i="8"/>
  <c r="G120" i="8"/>
  <c r="G132" i="8"/>
  <c r="K120" i="9"/>
  <c r="K136" i="9"/>
  <c r="G33" i="8"/>
  <c r="G67" i="8"/>
  <c r="G79" i="8"/>
  <c r="G91" i="8"/>
  <c r="G138" i="8"/>
  <c r="G144" i="8"/>
  <c r="G159" i="8"/>
  <c r="G171" i="8"/>
  <c r="G183" i="8"/>
  <c r="G195" i="8"/>
  <c r="G12" i="8"/>
  <c r="K124" i="9"/>
  <c r="K140" i="9"/>
  <c r="G42" i="8"/>
  <c r="G105" i="8"/>
  <c r="G117" i="8"/>
  <c r="G156" i="8"/>
  <c r="G168" i="8"/>
  <c r="G180" i="8"/>
  <c r="K112" i="9"/>
  <c r="K128" i="9"/>
  <c r="G15" i="8"/>
  <c r="G18" i="8"/>
  <c r="G21" i="8"/>
  <c r="G114" i="8"/>
  <c r="G129" i="8"/>
  <c r="G141" i="8"/>
  <c r="G153" i="8"/>
  <c r="G165" i="8"/>
  <c r="G177" i="8"/>
  <c r="G189" i="8"/>
  <c r="G204" i="8"/>
  <c r="G216" i="8"/>
  <c r="C142" i="17"/>
  <c r="E107" i="17"/>
  <c r="G222" i="8"/>
  <c r="G219" i="8"/>
  <c r="G147" i="8"/>
  <c r="G9" i="17"/>
  <c r="G38" i="17"/>
  <c r="F38" i="17"/>
  <c r="F41" i="17"/>
  <c r="G6" i="17"/>
  <c r="F6" i="17"/>
  <c r="D45" i="17"/>
  <c r="D10" i="17"/>
  <c r="G10" i="17"/>
  <c r="D9" i="17"/>
  <c r="F44" i="17"/>
  <c r="G44" i="17"/>
  <c r="C9" i="17"/>
  <c r="K15" i="9"/>
  <c r="D9" i="8"/>
  <c r="K5" i="9"/>
  <c r="E79" i="17"/>
  <c r="K31" i="9"/>
  <c r="C79" i="17"/>
  <c r="B342" i="9"/>
  <c r="B351" i="16" s="1"/>
  <c r="B245" i="16"/>
  <c r="F8" i="17"/>
  <c r="C78" i="17"/>
  <c r="E43" i="17"/>
  <c r="C43" i="17"/>
  <c r="D6" i="17"/>
  <c r="L32" i="9"/>
  <c r="D5" i="17"/>
  <c r="L16" i="9"/>
  <c r="E5" i="17"/>
  <c r="D216" i="8"/>
  <c r="D213" i="8"/>
  <c r="D82" i="8"/>
  <c r="D79" i="8"/>
  <c r="K29" i="9"/>
  <c r="K13" i="9"/>
  <c r="K9" i="9"/>
  <c r="C5" i="17"/>
  <c r="C40" i="17"/>
  <c r="E40" i="17"/>
  <c r="D12" i="8"/>
  <c r="K23" i="9"/>
  <c r="K7" i="9"/>
  <c r="C75" i="17"/>
  <c r="E75" i="17"/>
  <c r="K37" i="9"/>
  <c r="K21" i="9"/>
  <c r="B233" i="16"/>
  <c r="B330" i="9"/>
  <c r="B339" i="16" s="1"/>
  <c r="F4" i="17"/>
  <c r="K35" i="9"/>
  <c r="K27" i="9"/>
  <c r="K19" i="9"/>
  <c r="K11" i="9"/>
  <c r="K3" i="9"/>
  <c r="L38" i="9" s="1"/>
  <c r="Q38" i="9" s="1"/>
  <c r="K6" i="9"/>
  <c r="K33" i="9"/>
  <c r="K25" i="9"/>
  <c r="K17" i="9"/>
  <c r="B327" i="9"/>
  <c r="B336" i="16" s="1"/>
  <c r="B230" i="16"/>
  <c r="B124" i="16"/>
  <c r="K36" i="9"/>
  <c r="K32" i="9"/>
  <c r="K28" i="9"/>
  <c r="K24" i="9"/>
  <c r="K20" i="9"/>
  <c r="K16" i="9"/>
  <c r="K12" i="9"/>
  <c r="K8" i="9"/>
  <c r="K4" i="9"/>
  <c r="K34" i="9"/>
  <c r="K30" i="9"/>
  <c r="K26" i="9"/>
  <c r="K22" i="9"/>
  <c r="K18" i="9"/>
  <c r="K14" i="9"/>
  <c r="K10" i="9"/>
  <c r="B227" i="16"/>
  <c r="B324" i="9"/>
  <c r="B333" i="16" s="1"/>
  <c r="L3" i="9"/>
  <c r="L5" i="9"/>
  <c r="L9" i="9"/>
  <c r="L13" i="9"/>
  <c r="L17" i="9"/>
  <c r="L21" i="9"/>
  <c r="L25" i="9"/>
  <c r="L29" i="9"/>
  <c r="L33" i="9"/>
  <c r="L37" i="9"/>
  <c r="D30" i="8"/>
  <c r="D52" i="8"/>
  <c r="D58" i="8"/>
  <c r="D85" i="8"/>
  <c r="D88" i="8"/>
  <c r="D91" i="8"/>
  <c r="D94" i="8"/>
  <c r="D129" i="8"/>
  <c r="D132" i="8"/>
  <c r="D135" i="8"/>
  <c r="D138" i="8"/>
  <c r="D141" i="8"/>
  <c r="D144" i="8"/>
  <c r="D147" i="8"/>
  <c r="D153" i="8"/>
  <c r="D156" i="8"/>
  <c r="D159" i="8"/>
  <c r="D162" i="8"/>
  <c r="D165" i="8"/>
  <c r="L6" i="9"/>
  <c r="L10" i="9"/>
  <c r="L14" i="9"/>
  <c r="L18" i="9"/>
  <c r="L22" i="9"/>
  <c r="L26" i="9"/>
  <c r="L30" i="9"/>
  <c r="L34" i="9"/>
  <c r="D45" i="8"/>
  <c r="D97" i="8"/>
  <c r="D102" i="8"/>
  <c r="D105" i="8"/>
  <c r="D108" i="8"/>
  <c r="L7" i="9"/>
  <c r="L11" i="9"/>
  <c r="L15" i="9"/>
  <c r="L19" i="9"/>
  <c r="L23" i="9"/>
  <c r="L27" i="9"/>
  <c r="L31" i="9"/>
  <c r="L35" i="9"/>
  <c r="D27" i="8"/>
  <c r="D55" i="8"/>
  <c r="D61" i="8"/>
  <c r="D64" i="8"/>
  <c r="D67" i="8"/>
  <c r="D70" i="8"/>
  <c r="D73" i="8"/>
  <c r="D76" i="8"/>
  <c r="D111" i="8"/>
  <c r="D114" i="8"/>
  <c r="D117" i="8"/>
  <c r="D120" i="8"/>
  <c r="D123" i="8"/>
  <c r="D204" i="8"/>
  <c r="D207" i="8"/>
  <c r="D210" i="8"/>
  <c r="D72" i="17"/>
  <c r="D42" i="8"/>
  <c r="L28" i="9"/>
  <c r="L12" i="9"/>
  <c r="D225" i="8"/>
  <c r="D198" i="8"/>
  <c r="D195" i="8"/>
  <c r="D192" i="8"/>
  <c r="D189" i="8"/>
  <c r="D186" i="8"/>
  <c r="D183" i="8"/>
  <c r="D180" i="8"/>
  <c r="D177" i="8"/>
  <c r="D174" i="8"/>
  <c r="D171" i="8"/>
  <c r="D168" i="8"/>
  <c r="L24" i="9"/>
  <c r="L8" i="9"/>
  <c r="D37" i="17"/>
  <c r="D222" i="8"/>
  <c r="D219" i="8"/>
  <c r="D126" i="8"/>
  <c r="D24" i="8"/>
  <c r="L36" i="9"/>
  <c r="L20" i="9"/>
  <c r="L4" i="9"/>
  <c r="D48" i="8"/>
  <c r="D36" i="8"/>
  <c r="D33" i="8"/>
  <c r="D39" i="8"/>
  <c r="D21" i="8"/>
  <c r="D18" i="8"/>
  <c r="D15" i="8"/>
  <c r="F37" i="17"/>
  <c r="G72" i="17"/>
  <c r="B224" i="16"/>
  <c r="B321" i="9"/>
  <c r="B330" i="16" s="1"/>
  <c r="F2" i="17"/>
  <c r="G2" i="17"/>
  <c r="J58" i="8"/>
  <c r="J52" i="8"/>
  <c r="M24" i="24"/>
  <c r="AA30" i="24"/>
  <c r="M47" i="24"/>
  <c r="AA40" i="24"/>
  <c r="M38" i="24"/>
  <c r="AA20" i="24"/>
  <c r="J24" i="8"/>
  <c r="M24" i="8"/>
  <c r="M59" i="24"/>
  <c r="M35" i="24"/>
  <c r="AA42" i="24"/>
  <c r="AA56" i="24"/>
  <c r="M62" i="24"/>
  <c r="M33" i="24"/>
  <c r="M44" i="24"/>
  <c r="AA63" i="24"/>
  <c r="AA49" i="24"/>
  <c r="AA29" i="24"/>
  <c r="M54" i="24"/>
  <c r="AA41" i="24"/>
  <c r="AA52" i="24"/>
  <c r="AA62" i="24"/>
  <c r="M58" i="24"/>
  <c r="M17" i="24"/>
  <c r="M21" i="24"/>
  <c r="M25" i="24"/>
  <c r="M29" i="24"/>
  <c r="AO26" i="24"/>
  <c r="M14" i="24"/>
  <c r="M18" i="24"/>
  <c r="M22" i="24"/>
  <c r="M26" i="24"/>
  <c r="M30" i="24"/>
  <c r="AO25" i="24"/>
  <c r="AO24" i="24"/>
  <c r="M15" i="24"/>
  <c r="M19" i="24"/>
  <c r="M23" i="24"/>
  <c r="M27" i="24"/>
  <c r="M31" i="24"/>
  <c r="AA17" i="24"/>
  <c r="AA50" i="24"/>
  <c r="AA18" i="24"/>
  <c r="AA51" i="24"/>
  <c r="AA19" i="24"/>
  <c r="AA60" i="24"/>
  <c r="AA36" i="24"/>
  <c r="AA16" i="24"/>
  <c r="AA37" i="24"/>
  <c r="AA39" i="24"/>
  <c r="AA38" i="24"/>
  <c r="M49" i="24"/>
  <c r="M39" i="24"/>
  <c r="M63" i="24"/>
  <c r="M56" i="24"/>
  <c r="M50" i="24"/>
  <c r="M60" i="24"/>
  <c r="M57" i="24"/>
  <c r="M42" i="24"/>
  <c r="M20" i="24"/>
  <c r="AA15" i="24"/>
  <c r="AA25" i="24"/>
  <c r="AA58" i="24"/>
  <c r="AA26" i="24"/>
  <c r="AA59" i="24"/>
  <c r="AA35" i="24"/>
  <c r="AA48" i="24"/>
  <c r="AA53" i="24"/>
  <c r="AA14" i="24"/>
  <c r="AA46" i="24"/>
  <c r="AA32" i="24"/>
  <c r="AA47" i="24"/>
  <c r="M37" i="24"/>
  <c r="AA45" i="24"/>
  <c r="M41" i="24"/>
  <c r="M53" i="24"/>
  <c r="M43" i="24"/>
  <c r="M34" i="24"/>
  <c r="M55" i="24"/>
  <c r="M52" i="24"/>
  <c r="M32" i="24"/>
  <c r="M16" i="24"/>
  <c r="C273" i="8"/>
  <c r="AA57" i="24"/>
  <c r="AA33" i="24"/>
  <c r="AA31" i="24"/>
  <c r="AA34" i="24"/>
  <c r="AA23" i="24"/>
  <c r="AA43" i="24"/>
  <c r="AA24" i="24"/>
  <c r="AA61" i="24"/>
  <c r="AA21" i="24"/>
  <c r="AA54" i="24"/>
  <c r="AA22" i="24"/>
  <c r="AA55" i="24"/>
  <c r="M51" i="24"/>
  <c r="M61" i="24"/>
  <c r="M36" i="24"/>
  <c r="M48" i="24"/>
  <c r="AA44" i="24"/>
  <c r="M46" i="24"/>
  <c r="M40" i="24"/>
  <c r="M45" i="24"/>
  <c r="AO14" i="24"/>
  <c r="AO15" i="24"/>
  <c r="AO16" i="24"/>
  <c r="AO17" i="24"/>
  <c r="AO18" i="24"/>
  <c r="AO19" i="24"/>
  <c r="AO20" i="24"/>
  <c r="AO21" i="24"/>
  <c r="AO22" i="24"/>
  <c r="AO23" i="24"/>
  <c r="M28" i="24"/>
  <c r="M18" i="8"/>
  <c r="M15" i="8"/>
  <c r="Y23" i="24" l="1"/>
  <c r="Y20" i="24"/>
  <c r="Y16" i="24"/>
  <c r="Y17" i="24"/>
  <c r="Y15" i="24"/>
  <c r="Y14" i="24"/>
  <c r="K16" i="24"/>
  <c r="K18" i="24"/>
  <c r="K17" i="24"/>
  <c r="K14" i="24"/>
  <c r="K27" i="24"/>
  <c r="K37" i="24"/>
  <c r="K45" i="24"/>
  <c r="K53" i="24"/>
  <c r="K61" i="24"/>
  <c r="K19" i="24"/>
  <c r="K29" i="24"/>
  <c r="J193" i="17"/>
  <c r="K158" i="17"/>
  <c r="K193" i="17" s="1"/>
  <c r="H37" i="17"/>
  <c r="H72" i="17" s="1"/>
  <c r="I2" i="17"/>
  <c r="I37" i="17" s="1"/>
  <c r="I72" i="17" s="1"/>
  <c r="K54" i="17"/>
  <c r="J89" i="17"/>
  <c r="K89" i="17" s="1"/>
  <c r="G17" i="18"/>
  <c r="K175" i="17"/>
  <c r="K210" i="17" s="1"/>
  <c r="J210" i="17"/>
  <c r="J197" i="17"/>
  <c r="K162" i="17"/>
  <c r="K197" i="17" s="1"/>
  <c r="K22" i="24"/>
  <c r="Y54" i="24"/>
  <c r="I3" i="17"/>
  <c r="I38" i="17" s="1"/>
  <c r="I73" i="17" s="1"/>
  <c r="H38" i="17"/>
  <c r="H73" i="17" s="1"/>
  <c r="K25" i="24"/>
  <c r="F146" i="17"/>
  <c r="F318" i="17"/>
  <c r="J83" i="17"/>
  <c r="K83" i="17" s="1"/>
  <c r="K48" i="17"/>
  <c r="J92" i="17"/>
  <c r="K92" i="17" s="1"/>
  <c r="K57" i="17"/>
  <c r="K70" i="17"/>
  <c r="J105" i="17"/>
  <c r="K105" i="17" s="1"/>
  <c r="K21" i="24"/>
  <c r="J98" i="17"/>
  <c r="K98" i="17" s="1"/>
  <c r="K63" i="17"/>
  <c r="K33" i="24"/>
  <c r="K41" i="24"/>
  <c r="K49" i="24"/>
  <c r="K57" i="24"/>
  <c r="K23" i="24"/>
  <c r="J72" i="17"/>
  <c r="K72" i="17" s="1"/>
  <c r="K37" i="17"/>
  <c r="J79" i="17"/>
  <c r="K79" i="17" s="1"/>
  <c r="K44" i="17"/>
  <c r="J84" i="17"/>
  <c r="K84" i="17" s="1"/>
  <c r="K49" i="17"/>
  <c r="J100" i="17"/>
  <c r="K100" i="17" s="1"/>
  <c r="K65" i="17"/>
  <c r="J91" i="17"/>
  <c r="K91" i="17" s="1"/>
  <c r="K56" i="17"/>
  <c r="J104" i="17"/>
  <c r="K104" i="17" s="1"/>
  <c r="K69" i="17"/>
  <c r="B411" i="9"/>
  <c r="B420" i="16" s="1"/>
  <c r="B314" i="16"/>
  <c r="K26" i="24"/>
  <c r="Y62" i="24"/>
  <c r="Y46" i="24"/>
  <c r="J87" i="17"/>
  <c r="K87" i="17" s="1"/>
  <c r="K52" i="17"/>
  <c r="J204" i="17"/>
  <c r="K169" i="17"/>
  <c r="K204" i="17" s="1"/>
  <c r="J189" i="17"/>
  <c r="K154" i="17"/>
  <c r="K189" i="17" s="1"/>
  <c r="J95" i="17"/>
  <c r="K95" i="17" s="1"/>
  <c r="K60" i="17"/>
  <c r="J96" i="17"/>
  <c r="K96" i="17" s="1"/>
  <c r="K61" i="17"/>
  <c r="K58" i="17"/>
  <c r="J93" i="17"/>
  <c r="K93" i="17" s="1"/>
  <c r="J103" i="17"/>
  <c r="K103" i="17" s="1"/>
  <c r="K68" i="17"/>
  <c r="J81" i="17"/>
  <c r="K81" i="17" s="1"/>
  <c r="K46" i="17"/>
  <c r="K20" i="24"/>
  <c r="K24" i="24"/>
  <c r="K28" i="24"/>
  <c r="Y58" i="24"/>
  <c r="Y50" i="24"/>
  <c r="J75" i="17"/>
  <c r="K75" i="17" s="1"/>
  <c r="K40" i="17"/>
  <c r="K45" i="17"/>
  <c r="J80" i="17"/>
  <c r="K80" i="17" s="1"/>
  <c r="J88" i="17"/>
  <c r="K88" i="17" s="1"/>
  <c r="K53" i="17"/>
  <c r="J99" i="17"/>
  <c r="K99" i="17" s="1"/>
  <c r="K64" i="17"/>
  <c r="K15" i="24"/>
  <c r="J201" i="17"/>
  <c r="K166" i="17"/>
  <c r="K201" i="17" s="1"/>
  <c r="F39" i="18"/>
  <c r="G325" i="17"/>
  <c r="F325" i="17"/>
  <c r="G323" i="17"/>
  <c r="F323" i="17"/>
  <c r="G393" i="17"/>
  <c r="F393" i="17"/>
  <c r="L392" i="9"/>
  <c r="Q392" i="9" s="1"/>
  <c r="L395" i="9"/>
  <c r="G356" i="17"/>
  <c r="F356" i="17"/>
  <c r="L415" i="9"/>
  <c r="M415" i="9" s="1"/>
  <c r="L399" i="9"/>
  <c r="G319" i="17"/>
  <c r="F319" i="17"/>
  <c r="F354" i="17"/>
  <c r="G354" i="17"/>
  <c r="F41" i="18"/>
  <c r="F38" i="18"/>
  <c r="L405" i="9"/>
  <c r="M405" i="9" s="1"/>
  <c r="L421" i="9"/>
  <c r="M421" i="9" s="1"/>
  <c r="L407" i="9"/>
  <c r="P407" i="9" s="1"/>
  <c r="L423" i="9"/>
  <c r="M423" i="9" s="1"/>
  <c r="L422" i="9"/>
  <c r="M422" i="9" s="1"/>
  <c r="L397" i="9"/>
  <c r="O397" i="9" s="1"/>
  <c r="L413" i="9"/>
  <c r="P413" i="9" s="1"/>
  <c r="L411" i="9"/>
  <c r="P411" i="9" s="1"/>
  <c r="P395" i="9"/>
  <c r="M395" i="9"/>
  <c r="Q395" i="9"/>
  <c r="N395" i="9"/>
  <c r="O395" i="9"/>
  <c r="P397" i="9"/>
  <c r="M397" i="9"/>
  <c r="Q397" i="9"/>
  <c r="N397" i="9"/>
  <c r="M413" i="9"/>
  <c r="P421" i="9"/>
  <c r="Q421" i="9"/>
  <c r="N421" i="9"/>
  <c r="O421" i="9"/>
  <c r="P392" i="9"/>
  <c r="L400" i="9"/>
  <c r="L408" i="9"/>
  <c r="L416" i="9"/>
  <c r="L424" i="9"/>
  <c r="P399" i="9"/>
  <c r="M399" i="9"/>
  <c r="Q399" i="9"/>
  <c r="N399" i="9"/>
  <c r="O399" i="9"/>
  <c r="Q407" i="9"/>
  <c r="O407" i="9"/>
  <c r="O415" i="9"/>
  <c r="L394" i="9"/>
  <c r="L402" i="9"/>
  <c r="L410" i="9"/>
  <c r="L418" i="9"/>
  <c r="L393" i="9"/>
  <c r="L401" i="9"/>
  <c r="L409" i="9"/>
  <c r="L417" i="9"/>
  <c r="L425" i="9"/>
  <c r="L396" i="9"/>
  <c r="L404" i="9"/>
  <c r="L412" i="9"/>
  <c r="L420" i="9"/>
  <c r="L403" i="9"/>
  <c r="L419" i="9"/>
  <c r="L398" i="9"/>
  <c r="L406" i="9"/>
  <c r="L414" i="9"/>
  <c r="M11" i="8"/>
  <c r="M10" i="8" s="1"/>
  <c r="O9" i="8"/>
  <c r="L356" i="9"/>
  <c r="L358" i="9"/>
  <c r="L359" i="9"/>
  <c r="L361" i="9"/>
  <c r="L365" i="9"/>
  <c r="L368" i="9"/>
  <c r="L375" i="9"/>
  <c r="L379" i="9"/>
  <c r="L357" i="9"/>
  <c r="L360" i="9"/>
  <c r="L363" i="9"/>
  <c r="L364" i="9"/>
  <c r="L369" i="9"/>
  <c r="L377" i="9"/>
  <c r="L378" i="9"/>
  <c r="L382" i="9"/>
  <c r="L386" i="9"/>
  <c r="L373" i="9"/>
  <c r="L381" i="9"/>
  <c r="L387" i="9"/>
  <c r="L389" i="9"/>
  <c r="L362" i="9"/>
  <c r="L367" i="9"/>
  <c r="L372" i="9"/>
  <c r="L384" i="9"/>
  <c r="L371" i="9"/>
  <c r="L390" i="9"/>
  <c r="L380" i="9"/>
  <c r="L383" i="9"/>
  <c r="L374" i="9"/>
  <c r="L370" i="9"/>
  <c r="L385" i="9"/>
  <c r="L366" i="9"/>
  <c r="L376" i="9"/>
  <c r="L388" i="9"/>
  <c r="O11" i="8"/>
  <c r="O10" i="8" s="1"/>
  <c r="L299" i="9"/>
  <c r="F217" i="17"/>
  <c r="G217" i="17"/>
  <c r="G252" i="17"/>
  <c r="F252" i="17"/>
  <c r="G287" i="17"/>
  <c r="F287" i="17"/>
  <c r="L307" i="9"/>
  <c r="O307" i="9" s="1"/>
  <c r="L291" i="9"/>
  <c r="V75" i="8"/>
  <c r="L315" i="9"/>
  <c r="O315" i="9" s="1"/>
  <c r="L297" i="9"/>
  <c r="Q297" i="9" s="1"/>
  <c r="L286" i="9"/>
  <c r="M286" i="9" s="1"/>
  <c r="X188" i="8"/>
  <c r="X218" i="8"/>
  <c r="L305" i="9"/>
  <c r="O305" i="9" s="1"/>
  <c r="L289" i="9"/>
  <c r="M289" i="9" s="1"/>
  <c r="L300" i="9"/>
  <c r="L319" i="9"/>
  <c r="N319" i="9" s="1"/>
  <c r="L311" i="9"/>
  <c r="P311" i="9" s="1"/>
  <c r="L303" i="9"/>
  <c r="M303" i="9" s="1"/>
  <c r="L295" i="9"/>
  <c r="M295" i="9" s="1"/>
  <c r="L313" i="9"/>
  <c r="P313" i="9" s="1"/>
  <c r="L290" i="9"/>
  <c r="L298" i="9"/>
  <c r="L287" i="9"/>
  <c r="L306" i="9"/>
  <c r="L310" i="9"/>
  <c r="L314" i="9"/>
  <c r="L318" i="9"/>
  <c r="L292" i="9"/>
  <c r="L302" i="9"/>
  <c r="L288" i="9"/>
  <c r="L296" i="9"/>
  <c r="L308" i="9"/>
  <c r="L312" i="9"/>
  <c r="L316" i="9"/>
  <c r="L317" i="9"/>
  <c r="P317" i="9" s="1"/>
  <c r="L309" i="9"/>
  <c r="O309" i="9" s="1"/>
  <c r="L301" i="9"/>
  <c r="P301" i="9" s="1"/>
  <c r="L293" i="9"/>
  <c r="M293" i="9" s="1"/>
  <c r="L285" i="9"/>
  <c r="N285" i="9" s="1"/>
  <c r="L294" i="9"/>
  <c r="L304" i="9"/>
  <c r="F248" i="17"/>
  <c r="G248" i="17"/>
  <c r="V99" i="8"/>
  <c r="V209" i="8"/>
  <c r="F213" i="17"/>
  <c r="G213" i="17"/>
  <c r="O313" i="9"/>
  <c r="O289" i="9"/>
  <c r="P289" i="9"/>
  <c r="N289" i="9"/>
  <c r="N311" i="9"/>
  <c r="Q293" i="9"/>
  <c r="P303" i="9"/>
  <c r="Q303" i="9"/>
  <c r="O286" i="9"/>
  <c r="P286" i="9"/>
  <c r="N286" i="9"/>
  <c r="M307" i="9"/>
  <c r="O299" i="9"/>
  <c r="P299" i="9"/>
  <c r="Q299" i="9"/>
  <c r="M299" i="9"/>
  <c r="N299" i="9"/>
  <c r="O291" i="9"/>
  <c r="P291" i="9"/>
  <c r="M291" i="9"/>
  <c r="Q291" i="9"/>
  <c r="N291" i="9"/>
  <c r="L251" i="9"/>
  <c r="L254" i="9"/>
  <c r="L258" i="9"/>
  <c r="L263" i="9"/>
  <c r="L265" i="9"/>
  <c r="L266" i="9"/>
  <c r="L273" i="9"/>
  <c r="L257" i="9"/>
  <c r="L259" i="9"/>
  <c r="L264" i="9"/>
  <c r="L268" i="9"/>
  <c r="L270" i="9"/>
  <c r="L255" i="9"/>
  <c r="L256" i="9"/>
  <c r="L267" i="9"/>
  <c r="L276" i="9"/>
  <c r="L279" i="9"/>
  <c r="L250" i="9"/>
  <c r="L261" i="9"/>
  <c r="L262" i="9"/>
  <c r="L271" i="9"/>
  <c r="L272" i="9"/>
  <c r="L275" i="9"/>
  <c r="L280" i="9"/>
  <c r="L282" i="9"/>
  <c r="L284" i="9"/>
  <c r="L252" i="9"/>
  <c r="L253" i="9"/>
  <c r="L260" i="9"/>
  <c r="L269" i="9"/>
  <c r="L274" i="9"/>
  <c r="L277" i="9"/>
  <c r="L281" i="9"/>
  <c r="L283" i="9"/>
  <c r="L278" i="9"/>
  <c r="F247" i="17"/>
  <c r="E38" i="18"/>
  <c r="E39" i="18"/>
  <c r="E41" i="18"/>
  <c r="G247" i="17"/>
  <c r="X182" i="8"/>
  <c r="V81" i="8"/>
  <c r="G184" i="17"/>
  <c r="F184" i="17"/>
  <c r="V215" i="8"/>
  <c r="L201" i="9"/>
  <c r="P201" i="9" s="1"/>
  <c r="G181" i="17"/>
  <c r="F181" i="17"/>
  <c r="F111" i="17"/>
  <c r="G111" i="17"/>
  <c r="L185" i="9"/>
  <c r="M185" i="9" s="1"/>
  <c r="L186" i="9"/>
  <c r="O186" i="9" s="1"/>
  <c r="L213" i="9"/>
  <c r="M213" i="9" s="1"/>
  <c r="L202" i="9"/>
  <c r="Q202" i="9" s="1"/>
  <c r="L182" i="9"/>
  <c r="P182" i="9" s="1"/>
  <c r="V212" i="8"/>
  <c r="X158" i="8"/>
  <c r="F180" i="17"/>
  <c r="G180" i="17"/>
  <c r="L190" i="9"/>
  <c r="M190" i="9" s="1"/>
  <c r="L206" i="9"/>
  <c r="Q206" i="9" s="1"/>
  <c r="L189" i="9"/>
  <c r="N189" i="9" s="1"/>
  <c r="L205" i="9"/>
  <c r="O205" i="9" s="1"/>
  <c r="X200" i="8"/>
  <c r="L194" i="9"/>
  <c r="N194" i="9" s="1"/>
  <c r="L210" i="9"/>
  <c r="M210" i="9" s="1"/>
  <c r="L193" i="9"/>
  <c r="M193" i="9" s="1"/>
  <c r="L209" i="9"/>
  <c r="O209" i="9" s="1"/>
  <c r="X161" i="8"/>
  <c r="V134" i="8"/>
  <c r="L198" i="9"/>
  <c r="P198" i="9" s="1"/>
  <c r="L197" i="9"/>
  <c r="P197" i="9" s="1"/>
  <c r="X143" i="8"/>
  <c r="V146" i="8"/>
  <c r="L188" i="9"/>
  <c r="P188" i="9" s="1"/>
  <c r="L196" i="9"/>
  <c r="O196" i="9" s="1"/>
  <c r="L204" i="9"/>
  <c r="O204" i="9" s="1"/>
  <c r="L212" i="9"/>
  <c r="M212" i="9" s="1"/>
  <c r="L187" i="9"/>
  <c r="M187" i="9" s="1"/>
  <c r="L195" i="9"/>
  <c r="N195" i="9" s="1"/>
  <c r="L203" i="9"/>
  <c r="Q203" i="9" s="1"/>
  <c r="L211" i="9"/>
  <c r="O211" i="9" s="1"/>
  <c r="X173" i="8"/>
  <c r="X197" i="8"/>
  <c r="X84" i="8"/>
  <c r="L184" i="9"/>
  <c r="O184" i="9" s="1"/>
  <c r="L192" i="9"/>
  <c r="P192" i="9" s="1"/>
  <c r="L200" i="9"/>
  <c r="O200" i="9" s="1"/>
  <c r="L208" i="9"/>
  <c r="Q208" i="9" s="1"/>
  <c r="L183" i="9"/>
  <c r="N183" i="9" s="1"/>
  <c r="L191" i="9"/>
  <c r="M191" i="9" s="1"/>
  <c r="L199" i="9"/>
  <c r="O199" i="9" s="1"/>
  <c r="L207" i="9"/>
  <c r="M207" i="9" s="1"/>
  <c r="L179" i="9"/>
  <c r="L180" i="9"/>
  <c r="Q190" i="9"/>
  <c r="P206" i="9"/>
  <c r="M206" i="9"/>
  <c r="N206" i="9"/>
  <c r="N203" i="9"/>
  <c r="M203" i="9"/>
  <c r="P200" i="9"/>
  <c r="M200" i="9"/>
  <c r="Q200" i="9"/>
  <c r="N200" i="9"/>
  <c r="P208" i="9"/>
  <c r="N181" i="9"/>
  <c r="M181" i="9"/>
  <c r="Q181" i="9"/>
  <c r="O181" i="9"/>
  <c r="P181" i="9"/>
  <c r="N213" i="9"/>
  <c r="P213" i="9"/>
  <c r="Q213" i="9"/>
  <c r="N186" i="9"/>
  <c r="M194" i="9"/>
  <c r="Q194" i="9"/>
  <c r="N199" i="9"/>
  <c r="Q199" i="9"/>
  <c r="P199" i="9"/>
  <c r="M199" i="9"/>
  <c r="Q207" i="9"/>
  <c r="L150" i="9"/>
  <c r="L152" i="9"/>
  <c r="L154" i="9"/>
  <c r="L157" i="9"/>
  <c r="L146" i="9"/>
  <c r="L147" i="9"/>
  <c r="L156" i="9"/>
  <c r="L162" i="9"/>
  <c r="L149" i="9"/>
  <c r="L155" i="9"/>
  <c r="L161" i="9"/>
  <c r="L148" i="9"/>
  <c r="L151" i="9"/>
  <c r="L153" i="9"/>
  <c r="L160" i="9"/>
  <c r="L164" i="9"/>
  <c r="L167" i="9"/>
  <c r="L169" i="9"/>
  <c r="L172" i="9"/>
  <c r="L145" i="9"/>
  <c r="L158" i="9"/>
  <c r="L163" i="9"/>
  <c r="L144" i="9"/>
  <c r="L159" i="9"/>
  <c r="L166" i="9"/>
  <c r="L170" i="9"/>
  <c r="L174" i="9"/>
  <c r="L177" i="9"/>
  <c r="L165" i="9"/>
  <c r="L175" i="9"/>
  <c r="L176" i="9"/>
  <c r="L171" i="9"/>
  <c r="L173" i="9"/>
  <c r="L168" i="9"/>
  <c r="L178" i="9"/>
  <c r="F177" i="17"/>
  <c r="G177" i="17"/>
  <c r="D38" i="18"/>
  <c r="D41" i="18"/>
  <c r="D39" i="18"/>
  <c r="F107" i="17"/>
  <c r="G107" i="17"/>
  <c r="C38" i="18"/>
  <c r="X81" i="8"/>
  <c r="G79" i="17"/>
  <c r="F79" i="17"/>
  <c r="V143" i="8"/>
  <c r="X212" i="8"/>
  <c r="F43" i="17"/>
  <c r="G43" i="17"/>
  <c r="X215" i="8"/>
  <c r="M38" i="9"/>
  <c r="N38" i="9"/>
  <c r="L62" i="9"/>
  <c r="P62" i="9" s="1"/>
  <c r="V197" i="8"/>
  <c r="P38" i="9"/>
  <c r="L40" i="9"/>
  <c r="P40" i="9" s="1"/>
  <c r="L39" i="9"/>
  <c r="M39" i="9" s="1"/>
  <c r="L45" i="9"/>
  <c r="N45" i="9" s="1"/>
  <c r="O38" i="9"/>
  <c r="D14" i="8" s="1"/>
  <c r="D13" i="8" s="1"/>
  <c r="V218" i="8"/>
  <c r="X99" i="8"/>
  <c r="X146" i="8"/>
  <c r="V161" i="8"/>
  <c r="C41" i="18"/>
  <c r="L53" i="9"/>
  <c r="O53" i="9" s="1"/>
  <c r="F40" i="17"/>
  <c r="G40" i="17"/>
  <c r="V84" i="8"/>
  <c r="L48" i="9"/>
  <c r="N48" i="9" s="1"/>
  <c r="F75" i="17"/>
  <c r="G75" i="17"/>
  <c r="C39" i="18"/>
  <c r="V182" i="8"/>
  <c r="F5" i="17"/>
  <c r="G5" i="17"/>
  <c r="V200" i="8"/>
  <c r="X75" i="8"/>
  <c r="L70" i="9"/>
  <c r="M70" i="9" s="1"/>
  <c r="L57" i="9"/>
  <c r="O57" i="9" s="1"/>
  <c r="L42" i="9"/>
  <c r="M42" i="9" s="1"/>
  <c r="L66" i="9"/>
  <c r="P66" i="9" s="1"/>
  <c r="X209" i="8"/>
  <c r="X134" i="8"/>
  <c r="L49" i="9"/>
  <c r="M49" i="9" s="1"/>
  <c r="L59" i="9"/>
  <c r="O59" i="9" s="1"/>
  <c r="L69" i="9"/>
  <c r="L65" i="9"/>
  <c r="O65" i="9" s="1"/>
  <c r="L61" i="9"/>
  <c r="P61" i="9" s="1"/>
  <c r="L47" i="9"/>
  <c r="N47" i="9" s="1"/>
  <c r="L56" i="9"/>
  <c r="L52" i="9"/>
  <c r="O52" i="9" s="1"/>
  <c r="L41" i="9"/>
  <c r="P41" i="9" s="1"/>
  <c r="V158" i="8"/>
  <c r="L72" i="9"/>
  <c r="M72" i="9" s="1"/>
  <c r="L68" i="9"/>
  <c r="P68" i="9" s="1"/>
  <c r="L64" i="9"/>
  <c r="Q64" i="9" s="1"/>
  <c r="L60" i="9"/>
  <c r="M60" i="9" s="1"/>
  <c r="L44" i="9"/>
  <c r="O44" i="9" s="1"/>
  <c r="L55" i="9"/>
  <c r="M55" i="9" s="1"/>
  <c r="L51" i="9"/>
  <c r="O51" i="9" s="1"/>
  <c r="V173" i="8"/>
  <c r="L46" i="9"/>
  <c r="P46" i="9" s="1"/>
  <c r="L71" i="9"/>
  <c r="P71" i="9" s="1"/>
  <c r="L67" i="9"/>
  <c r="N67" i="9" s="1"/>
  <c r="L63" i="9"/>
  <c r="O63" i="9" s="1"/>
  <c r="L58" i="9"/>
  <c r="M58" i="9" s="1"/>
  <c r="L43" i="9"/>
  <c r="P43" i="9" s="1"/>
  <c r="L54" i="9"/>
  <c r="P54" i="9" s="1"/>
  <c r="L50" i="9"/>
  <c r="M50" i="9" s="1"/>
  <c r="V188" i="8"/>
  <c r="N39" i="9"/>
  <c r="X224" i="8"/>
  <c r="V191" i="8"/>
  <c r="X191" i="8"/>
  <c r="X116" i="8"/>
  <c r="V116" i="8"/>
  <c r="X104" i="8"/>
  <c r="V104" i="8"/>
  <c r="X227" i="8"/>
  <c r="V227" i="8"/>
  <c r="X149" i="8"/>
  <c r="V149" i="8"/>
  <c r="X137" i="8"/>
  <c r="V137" i="8"/>
  <c r="V179" i="8"/>
  <c r="X179" i="8"/>
  <c r="X206" i="8"/>
  <c r="V206" i="8"/>
  <c r="V72" i="8"/>
  <c r="X72" i="8"/>
  <c r="X164" i="8"/>
  <c r="V164" i="8"/>
  <c r="X93" i="8"/>
  <c r="V93" i="8"/>
  <c r="V224" i="8"/>
  <c r="X170" i="8"/>
  <c r="V170" i="8"/>
  <c r="X194" i="8"/>
  <c r="V194" i="8"/>
  <c r="V125" i="8"/>
  <c r="X125" i="8"/>
  <c r="V113" i="8"/>
  <c r="X113" i="8"/>
  <c r="V69" i="8"/>
  <c r="X69" i="8"/>
  <c r="X90" i="8"/>
  <c r="V90" i="8"/>
  <c r="X128" i="8"/>
  <c r="V128" i="8"/>
  <c r="V185" i="8"/>
  <c r="X185" i="8"/>
  <c r="X122" i="8"/>
  <c r="V122" i="8"/>
  <c r="X78" i="8"/>
  <c r="V78" i="8"/>
  <c r="X66" i="8"/>
  <c r="V66" i="8"/>
  <c r="X110" i="8"/>
  <c r="V110" i="8"/>
  <c r="V131" i="8"/>
  <c r="X131" i="8"/>
  <c r="X87" i="8"/>
  <c r="V87" i="8"/>
  <c r="X221" i="8"/>
  <c r="V221" i="8"/>
  <c r="X176" i="8"/>
  <c r="V176" i="8"/>
  <c r="V119" i="8"/>
  <c r="X119" i="8"/>
  <c r="V107" i="8"/>
  <c r="X107" i="8"/>
  <c r="X167" i="8"/>
  <c r="V167" i="8"/>
  <c r="V155" i="8"/>
  <c r="X155" i="8"/>
  <c r="X140" i="8"/>
  <c r="V140" i="8"/>
  <c r="X96" i="8"/>
  <c r="V96" i="8"/>
  <c r="L76" i="9"/>
  <c r="L78" i="9"/>
  <c r="L80" i="9"/>
  <c r="L82" i="9"/>
  <c r="L84" i="9"/>
  <c r="L86" i="9"/>
  <c r="L88" i="9"/>
  <c r="L90" i="9"/>
  <c r="L92" i="9"/>
  <c r="L94" i="9"/>
  <c r="L96" i="9"/>
  <c r="L98" i="9"/>
  <c r="L100" i="9"/>
  <c r="L102" i="9"/>
  <c r="L104" i="9"/>
  <c r="L106" i="9"/>
  <c r="L73" i="9"/>
  <c r="L74" i="9"/>
  <c r="L77" i="9"/>
  <c r="L79" i="9"/>
  <c r="L81" i="9"/>
  <c r="L83" i="9"/>
  <c r="L85" i="9"/>
  <c r="L87" i="9"/>
  <c r="L89" i="9"/>
  <c r="L91" i="9"/>
  <c r="L93" i="9"/>
  <c r="L95" i="9"/>
  <c r="L97" i="9"/>
  <c r="L99" i="9"/>
  <c r="L101" i="9"/>
  <c r="L103" i="9"/>
  <c r="L105" i="9"/>
  <c r="L107" i="9"/>
  <c r="L75" i="9"/>
  <c r="N64" i="9"/>
  <c r="Q67" i="9"/>
  <c r="Q63" i="9"/>
  <c r="P58" i="9"/>
  <c r="N50" i="9"/>
  <c r="O70" i="9"/>
  <c r="P70" i="9"/>
  <c r="O48" i="9"/>
  <c r="M57" i="9"/>
  <c r="N57" i="9"/>
  <c r="Q57" i="9"/>
  <c r="P53" i="9"/>
  <c r="M45" i="9"/>
  <c r="O45" i="9"/>
  <c r="N69" i="9"/>
  <c r="M69" i="9"/>
  <c r="P69" i="9"/>
  <c r="O69" i="9"/>
  <c r="Q69" i="9"/>
  <c r="P47" i="9"/>
  <c r="M56" i="9"/>
  <c r="O56" i="9"/>
  <c r="P56" i="9"/>
  <c r="N56" i="9"/>
  <c r="Q56" i="9"/>
  <c r="O55" i="24" l="1"/>
  <c r="O45" i="24"/>
  <c r="V40" i="24"/>
  <c r="O19" i="24"/>
  <c r="V20" i="24"/>
  <c r="O49" i="24"/>
  <c r="O42" i="24"/>
  <c r="O18" i="24"/>
  <c r="V52" i="24"/>
  <c r="V30" i="24"/>
  <c r="V63" i="24"/>
  <c r="V29" i="24"/>
  <c r="V28" i="24"/>
  <c r="O15" i="24"/>
  <c r="O61" i="24"/>
  <c r="O48" i="24"/>
  <c r="O16" i="24"/>
  <c r="V23" i="24"/>
  <c r="V25" i="24"/>
  <c r="V32" i="24"/>
  <c r="O28" i="24"/>
  <c r="O51" i="24"/>
  <c r="O26" i="24"/>
  <c r="O24" i="24"/>
  <c r="V49" i="24"/>
  <c r="V43" i="24"/>
  <c r="V51" i="24"/>
  <c r="O20" i="24"/>
  <c r="J1" i="24"/>
  <c r="H14" i="24"/>
  <c r="H47" i="24"/>
  <c r="A54" i="24"/>
  <c r="A29" i="24"/>
  <c r="A52" i="24"/>
  <c r="A19" i="24"/>
  <c r="A62" i="24"/>
  <c r="H31" i="24"/>
  <c r="A34" i="24"/>
  <c r="A17" i="24"/>
  <c r="A59" i="24"/>
  <c r="A39" i="24"/>
  <c r="H56" i="24"/>
  <c r="E11" i="24"/>
  <c r="A53" i="24"/>
  <c r="A27" i="24"/>
  <c r="A48" i="24"/>
  <c r="H19" i="24"/>
  <c r="A47" i="24"/>
  <c r="V50" i="24"/>
  <c r="O50" i="24"/>
  <c r="V22" i="24"/>
  <c r="A28" i="24"/>
  <c r="H28" i="24"/>
  <c r="O63" i="24"/>
  <c r="V15" i="24"/>
  <c r="V24" i="24"/>
  <c r="H36" i="24"/>
  <c r="A31" i="24"/>
  <c r="V46" i="24"/>
  <c r="O46" i="24"/>
  <c r="A26" i="24"/>
  <c r="H26" i="24"/>
  <c r="H44" i="24"/>
  <c r="A43" i="24"/>
  <c r="H34" i="24"/>
  <c r="O60" i="24"/>
  <c r="H55" i="24"/>
  <c r="V47" i="24"/>
  <c r="H40" i="24"/>
  <c r="A58" i="24"/>
  <c r="O17" i="24"/>
  <c r="A57" i="24"/>
  <c r="H57" i="24"/>
  <c r="V37" i="24"/>
  <c r="A46" i="24"/>
  <c r="O56" i="24"/>
  <c r="O31" i="24"/>
  <c r="O32" i="24"/>
  <c r="A60" i="24"/>
  <c r="H63" i="24"/>
  <c r="Y1" i="24"/>
  <c r="S11" i="24" s="1"/>
  <c r="O14" i="24"/>
  <c r="V44" i="24"/>
  <c r="O53" i="24"/>
  <c r="A61" i="24"/>
  <c r="H45" i="24"/>
  <c r="O59" i="24"/>
  <c r="O36" i="24"/>
  <c r="O34" i="24"/>
  <c r="O27" i="24"/>
  <c r="O38" i="24"/>
  <c r="A33" i="24"/>
  <c r="H33" i="24"/>
  <c r="A63" i="24"/>
  <c r="O54" i="9"/>
  <c r="P57" i="9"/>
  <c r="O40" i="9"/>
  <c r="P210" i="9"/>
  <c r="P185" i="9"/>
  <c r="A32" i="24"/>
  <c r="H60" i="24"/>
  <c r="O21" i="24"/>
  <c r="A15" i="24"/>
  <c r="H15" i="24"/>
  <c r="H48" i="24"/>
  <c r="H32" i="24"/>
  <c r="A42" i="24"/>
  <c r="H35" i="24"/>
  <c r="V58" i="24"/>
  <c r="O58" i="24"/>
  <c r="O22" i="24"/>
  <c r="H24" i="24"/>
  <c r="A24" i="24"/>
  <c r="O39" i="24"/>
  <c r="A16" i="24"/>
  <c r="A40" i="24"/>
  <c r="H42" i="24"/>
  <c r="O62" i="24"/>
  <c r="V62" i="24"/>
  <c r="O52" i="24"/>
  <c r="A51" i="24"/>
  <c r="A35" i="24"/>
  <c r="A14" i="24"/>
  <c r="V60" i="24"/>
  <c r="A55" i="24"/>
  <c r="O47" i="24"/>
  <c r="H52" i="24"/>
  <c r="V17" i="24"/>
  <c r="H49" i="24"/>
  <c r="A49" i="24"/>
  <c r="O37" i="24"/>
  <c r="H46" i="24"/>
  <c r="H58" i="24"/>
  <c r="V31" i="24"/>
  <c r="A25" i="24"/>
  <c r="H25" i="24"/>
  <c r="O35" i="24"/>
  <c r="V57" i="24"/>
  <c r="V55" i="24"/>
  <c r="A38" i="24"/>
  <c r="A36" i="24"/>
  <c r="V41" i="24"/>
  <c r="H61" i="24"/>
  <c r="A45" i="24"/>
  <c r="V59" i="24"/>
  <c r="H62" i="24"/>
  <c r="V36" i="24"/>
  <c r="V34" i="24"/>
  <c r="V16" i="24"/>
  <c r="V38" i="24"/>
  <c r="H18" i="24"/>
  <c r="H22" i="24"/>
  <c r="A22" i="24"/>
  <c r="A37" i="24"/>
  <c r="H30" i="24"/>
  <c r="N40" i="9"/>
  <c r="M64" i="9"/>
  <c r="Q51" i="9"/>
  <c r="M211" i="9"/>
  <c r="M204" i="9"/>
  <c r="O33" i="24"/>
  <c r="O41" i="24"/>
  <c r="H29" i="24"/>
  <c r="V21" i="24"/>
  <c r="H50" i="24"/>
  <c r="V48" i="24"/>
  <c r="H54" i="24"/>
  <c r="H20" i="24"/>
  <c r="A20" i="24"/>
  <c r="V56" i="24"/>
  <c r="V39" i="24"/>
  <c r="H16" i="24"/>
  <c r="V42" i="24"/>
  <c r="V61" i="24"/>
  <c r="O29" i="24"/>
  <c r="V19" i="24"/>
  <c r="A50" i="24"/>
  <c r="H43" i="24"/>
  <c r="H51" i="24"/>
  <c r="V45" i="24"/>
  <c r="O25" i="24"/>
  <c r="H17" i="24"/>
  <c r="V33" i="24"/>
  <c r="O43" i="24"/>
  <c r="H39" i="24"/>
  <c r="A23" i="24"/>
  <c r="H23" i="24"/>
  <c r="A41" i="24"/>
  <c r="H41" i="24"/>
  <c r="V18" i="24"/>
  <c r="A21" i="24"/>
  <c r="H21" i="24"/>
  <c r="O23" i="24"/>
  <c r="A18" i="24"/>
  <c r="V53" i="24"/>
  <c r="V35" i="24"/>
  <c r="O54" i="24"/>
  <c r="V54" i="24"/>
  <c r="V14" i="24"/>
  <c r="H38" i="24"/>
  <c r="H59" i="24"/>
  <c r="O40" i="24"/>
  <c r="O57" i="24"/>
  <c r="H53" i="24"/>
  <c r="H37" i="24"/>
  <c r="V26" i="24"/>
  <c r="A30" i="24"/>
  <c r="H27" i="24"/>
  <c r="V27" i="24"/>
  <c r="O30" i="24"/>
  <c r="A56" i="24"/>
  <c r="F40" i="18"/>
  <c r="N392" i="9"/>
  <c r="N415" i="9"/>
  <c r="P415" i="9"/>
  <c r="M392" i="9"/>
  <c r="Q415" i="9"/>
  <c r="O392" i="9"/>
  <c r="O423" i="9"/>
  <c r="P423" i="9"/>
  <c r="M407" i="9"/>
  <c r="N413" i="9"/>
  <c r="Q413" i="9"/>
  <c r="N411" i="9"/>
  <c r="P405" i="9"/>
  <c r="N405" i="9"/>
  <c r="O422" i="9"/>
  <c r="Q405" i="9"/>
  <c r="Q422" i="9"/>
  <c r="N422" i="9"/>
  <c r="O405" i="9"/>
  <c r="P422" i="9"/>
  <c r="N407" i="9"/>
  <c r="O413" i="9"/>
  <c r="N423" i="9"/>
  <c r="Q411" i="9"/>
  <c r="Q423" i="9"/>
  <c r="M411" i="9"/>
  <c r="O411" i="9"/>
  <c r="N398" i="9"/>
  <c r="O398" i="9"/>
  <c r="Q398" i="9"/>
  <c r="P398" i="9"/>
  <c r="M398" i="9"/>
  <c r="N420" i="9"/>
  <c r="O420" i="9"/>
  <c r="P420" i="9"/>
  <c r="Q420" i="9"/>
  <c r="M420" i="9"/>
  <c r="P425" i="9"/>
  <c r="M425" i="9"/>
  <c r="Q425" i="9"/>
  <c r="N425" i="9"/>
  <c r="O425" i="9"/>
  <c r="P393" i="9"/>
  <c r="M393" i="9"/>
  <c r="Q393" i="9"/>
  <c r="N393" i="9"/>
  <c r="O393" i="9"/>
  <c r="N402" i="9"/>
  <c r="O402" i="9"/>
  <c r="P402" i="9"/>
  <c r="M402" i="9"/>
  <c r="Q402" i="9"/>
  <c r="N424" i="9"/>
  <c r="O424" i="9"/>
  <c r="P424" i="9"/>
  <c r="M424" i="9"/>
  <c r="Q424" i="9"/>
  <c r="P419" i="9"/>
  <c r="M419" i="9"/>
  <c r="Q419" i="9"/>
  <c r="N419" i="9"/>
  <c r="O419" i="9"/>
  <c r="N412" i="9"/>
  <c r="O412" i="9"/>
  <c r="P412" i="9"/>
  <c r="Q412" i="9"/>
  <c r="M412" i="9"/>
  <c r="P417" i="9"/>
  <c r="M417" i="9"/>
  <c r="Q417" i="9"/>
  <c r="N417" i="9"/>
  <c r="O417" i="9"/>
  <c r="P394" i="9"/>
  <c r="Q394" i="9"/>
  <c r="O394" i="9"/>
  <c r="N394" i="9"/>
  <c r="M394" i="9"/>
  <c r="N416" i="9"/>
  <c r="O416" i="9"/>
  <c r="P416" i="9"/>
  <c r="M416" i="9"/>
  <c r="Q416" i="9"/>
  <c r="N414" i="9"/>
  <c r="O414" i="9"/>
  <c r="P414" i="9"/>
  <c r="M414" i="9"/>
  <c r="Q414" i="9"/>
  <c r="P403" i="9"/>
  <c r="M403" i="9"/>
  <c r="Q403" i="9"/>
  <c r="O403" i="9"/>
  <c r="N403" i="9"/>
  <c r="N404" i="9"/>
  <c r="O404" i="9"/>
  <c r="Q404" i="9"/>
  <c r="P404" i="9"/>
  <c r="M404" i="9"/>
  <c r="P409" i="9"/>
  <c r="M409" i="9"/>
  <c r="Q409" i="9"/>
  <c r="N409" i="9"/>
  <c r="O409" i="9"/>
  <c r="N418" i="9"/>
  <c r="O418" i="9"/>
  <c r="P418" i="9"/>
  <c r="Q418" i="9"/>
  <c r="M418" i="9"/>
  <c r="N408" i="9"/>
  <c r="O408" i="9"/>
  <c r="P408" i="9"/>
  <c r="M408" i="9"/>
  <c r="Q408" i="9"/>
  <c r="N406" i="9"/>
  <c r="O406" i="9"/>
  <c r="M406" i="9"/>
  <c r="P406" i="9"/>
  <c r="Q406" i="9"/>
  <c r="N396" i="9"/>
  <c r="O396" i="9"/>
  <c r="M396" i="9"/>
  <c r="P396" i="9"/>
  <c r="Q396" i="9"/>
  <c r="P401" i="9"/>
  <c r="M401" i="9"/>
  <c r="Q401" i="9"/>
  <c r="O401" i="9"/>
  <c r="N401" i="9"/>
  <c r="N410" i="9"/>
  <c r="O410" i="9"/>
  <c r="P410" i="9"/>
  <c r="Q410" i="9"/>
  <c r="M410" i="9"/>
  <c r="N400" i="9"/>
  <c r="O400" i="9"/>
  <c r="M400" i="9"/>
  <c r="P400" i="9"/>
  <c r="Q400" i="9"/>
  <c r="P374" i="9"/>
  <c r="O374" i="9"/>
  <c r="N374" i="9"/>
  <c r="Q374" i="9"/>
  <c r="M374" i="9"/>
  <c r="M362" i="9"/>
  <c r="O362" i="9"/>
  <c r="Q362" i="9"/>
  <c r="N362" i="9"/>
  <c r="P362" i="9"/>
  <c r="O377" i="9"/>
  <c r="Q377" i="9"/>
  <c r="P377" i="9"/>
  <c r="M377" i="9"/>
  <c r="N377" i="9"/>
  <c r="P360" i="9"/>
  <c r="Q360" i="9"/>
  <c r="M360" i="9"/>
  <c r="O360" i="9"/>
  <c r="N360" i="9"/>
  <c r="M368" i="9"/>
  <c r="P368" i="9"/>
  <c r="Q368" i="9"/>
  <c r="O368" i="9"/>
  <c r="N368" i="9"/>
  <c r="M358" i="9"/>
  <c r="O358" i="9"/>
  <c r="P358" i="9"/>
  <c r="Q358" i="9"/>
  <c r="N358" i="9"/>
  <c r="M366" i="9"/>
  <c r="Q366" i="9"/>
  <c r="O366" i="9"/>
  <c r="N366" i="9"/>
  <c r="P366" i="9"/>
  <c r="M383" i="9"/>
  <c r="P383" i="9"/>
  <c r="Q383" i="9"/>
  <c r="O383" i="9"/>
  <c r="N383" i="9"/>
  <c r="P384" i="9"/>
  <c r="Q384" i="9"/>
  <c r="O384" i="9"/>
  <c r="M384" i="9"/>
  <c r="N384" i="9"/>
  <c r="M389" i="9"/>
  <c r="N389" i="9"/>
  <c r="O389" i="9"/>
  <c r="P389" i="9"/>
  <c r="Q389" i="9"/>
  <c r="M386" i="9"/>
  <c r="O386" i="9"/>
  <c r="P386" i="9"/>
  <c r="N386" i="9"/>
  <c r="Q386" i="9"/>
  <c r="M369" i="9"/>
  <c r="P369" i="9"/>
  <c r="N369" i="9"/>
  <c r="Q369" i="9"/>
  <c r="O369" i="9"/>
  <c r="P357" i="9"/>
  <c r="M357" i="9"/>
  <c r="N357" i="9"/>
  <c r="Q357" i="9"/>
  <c r="O357" i="9"/>
  <c r="O365" i="9"/>
  <c r="P365" i="9"/>
  <c r="N365" i="9"/>
  <c r="Q365" i="9"/>
  <c r="M365" i="9"/>
  <c r="M356" i="9"/>
  <c r="P356" i="9"/>
  <c r="O356" i="9"/>
  <c r="N356" i="9"/>
  <c r="Q356" i="9"/>
  <c r="M385" i="9"/>
  <c r="O385" i="9"/>
  <c r="Q385" i="9"/>
  <c r="P385" i="9"/>
  <c r="N385" i="9"/>
  <c r="M380" i="9"/>
  <c r="O380" i="9"/>
  <c r="Q380" i="9"/>
  <c r="P380" i="9"/>
  <c r="N380" i="9"/>
  <c r="M372" i="9"/>
  <c r="Q372" i="9"/>
  <c r="O372" i="9"/>
  <c r="P372" i="9"/>
  <c r="N372" i="9"/>
  <c r="M387" i="9"/>
  <c r="N387" i="9"/>
  <c r="O387" i="9"/>
  <c r="P387" i="9"/>
  <c r="Q387" i="9"/>
  <c r="N382" i="9"/>
  <c r="Q382" i="9"/>
  <c r="O382" i="9"/>
  <c r="M382" i="9"/>
  <c r="P382" i="9"/>
  <c r="P364" i="9"/>
  <c r="M364" i="9"/>
  <c r="Q364" i="9"/>
  <c r="O364" i="9"/>
  <c r="N364" i="9"/>
  <c r="Q379" i="9"/>
  <c r="M379" i="9"/>
  <c r="N379" i="9"/>
  <c r="P379" i="9"/>
  <c r="O379" i="9"/>
  <c r="M361" i="9"/>
  <c r="O361" i="9"/>
  <c r="P361" i="9"/>
  <c r="Q361" i="9"/>
  <c r="N361" i="9"/>
  <c r="M376" i="9"/>
  <c r="O376" i="9"/>
  <c r="P376" i="9"/>
  <c r="N376" i="9"/>
  <c r="Q376" i="9"/>
  <c r="P371" i="9"/>
  <c r="M371" i="9"/>
  <c r="O371" i="9"/>
  <c r="Q371" i="9"/>
  <c r="N371" i="9"/>
  <c r="O373" i="9"/>
  <c r="P373" i="9"/>
  <c r="Q373" i="9"/>
  <c r="M373" i="9"/>
  <c r="N373" i="9"/>
  <c r="M388" i="9"/>
  <c r="N388" i="9"/>
  <c r="O388" i="9"/>
  <c r="P388" i="9"/>
  <c r="Q388" i="9"/>
  <c r="O370" i="9"/>
  <c r="Q370" i="9"/>
  <c r="M370" i="9"/>
  <c r="P370" i="9"/>
  <c r="N370" i="9"/>
  <c r="O390" i="9"/>
  <c r="P390" i="9"/>
  <c r="M390" i="9"/>
  <c r="N390" i="9"/>
  <c r="Q390" i="9"/>
  <c r="O367" i="9"/>
  <c r="Q367" i="9"/>
  <c r="P367" i="9"/>
  <c r="M367" i="9"/>
  <c r="N367" i="9"/>
  <c r="O381" i="9"/>
  <c r="Q381" i="9"/>
  <c r="M381" i="9"/>
  <c r="P381" i="9"/>
  <c r="N381" i="9"/>
  <c r="P378" i="9"/>
  <c r="Q378" i="9"/>
  <c r="N378" i="9"/>
  <c r="M378" i="9"/>
  <c r="O378" i="9"/>
  <c r="O363" i="9"/>
  <c r="Q363" i="9"/>
  <c r="M363" i="9"/>
  <c r="P363" i="9"/>
  <c r="N363" i="9"/>
  <c r="O375" i="9"/>
  <c r="P375" i="9"/>
  <c r="Q375" i="9"/>
  <c r="M375" i="9"/>
  <c r="N375" i="9"/>
  <c r="M359" i="9"/>
  <c r="P359" i="9"/>
  <c r="O359" i="9"/>
  <c r="Q359" i="9"/>
  <c r="N359" i="9"/>
  <c r="Q307" i="9"/>
  <c r="M297" i="9"/>
  <c r="O311" i="9"/>
  <c r="P307" i="9"/>
  <c r="N305" i="9"/>
  <c r="N307" i="9"/>
  <c r="M301" i="9"/>
  <c r="M315" i="9"/>
  <c r="N293" i="9"/>
  <c r="O317" i="9"/>
  <c r="Q315" i="9"/>
  <c r="Q319" i="9"/>
  <c r="N313" i="9"/>
  <c r="P297" i="9"/>
  <c r="M311" i="9"/>
  <c r="P315" i="9"/>
  <c r="N297" i="9"/>
  <c r="O297" i="9"/>
  <c r="P305" i="9"/>
  <c r="Q301" i="9"/>
  <c r="Q309" i="9"/>
  <c r="Q311" i="9"/>
  <c r="M305" i="9"/>
  <c r="O301" i="9"/>
  <c r="N315" i="9"/>
  <c r="Q305" i="9"/>
  <c r="N301" i="9"/>
  <c r="N295" i="9"/>
  <c r="Q286" i="9"/>
  <c r="N303" i="9"/>
  <c r="O303" i="9"/>
  <c r="Q285" i="9"/>
  <c r="P293" i="9"/>
  <c r="Q317" i="9"/>
  <c r="P295" i="9"/>
  <c r="Q289" i="9"/>
  <c r="P285" i="9"/>
  <c r="O293" i="9"/>
  <c r="N317" i="9"/>
  <c r="O295" i="9"/>
  <c r="P292" i="9"/>
  <c r="Q292" i="9"/>
  <c r="N292" i="9"/>
  <c r="O292" i="9"/>
  <c r="M292" i="9"/>
  <c r="P319" i="9"/>
  <c r="M309" i="9"/>
  <c r="Q313" i="9"/>
  <c r="N287" i="9"/>
  <c r="M287" i="9"/>
  <c r="O287" i="9"/>
  <c r="P287" i="9"/>
  <c r="Q287" i="9"/>
  <c r="M319" i="9"/>
  <c r="O319" i="9"/>
  <c r="O285" i="9"/>
  <c r="P309" i="9"/>
  <c r="M317" i="9"/>
  <c r="Q295" i="9"/>
  <c r="M313" i="9"/>
  <c r="O316" i="9"/>
  <c r="P316" i="9"/>
  <c r="Q316" i="9"/>
  <c r="M316" i="9"/>
  <c r="N316" i="9"/>
  <c r="P288" i="9"/>
  <c r="N288" i="9"/>
  <c r="O288" i="9"/>
  <c r="M288" i="9"/>
  <c r="Q288" i="9"/>
  <c r="P314" i="9"/>
  <c r="N314" i="9"/>
  <c r="O314" i="9"/>
  <c r="M314" i="9"/>
  <c r="Q314" i="9"/>
  <c r="P298" i="9"/>
  <c r="M298" i="9"/>
  <c r="O298" i="9"/>
  <c r="Q298" i="9"/>
  <c r="N298" i="9"/>
  <c r="N294" i="9"/>
  <c r="O294" i="9"/>
  <c r="M294" i="9"/>
  <c r="P294" i="9"/>
  <c r="Q294" i="9"/>
  <c r="O308" i="9"/>
  <c r="P308" i="9"/>
  <c r="M308" i="9"/>
  <c r="N308" i="9"/>
  <c r="Q308" i="9"/>
  <c r="P306" i="9"/>
  <c r="Q306" i="9"/>
  <c r="O306" i="9"/>
  <c r="M306" i="9"/>
  <c r="N306" i="9"/>
  <c r="P296" i="9"/>
  <c r="O296" i="9"/>
  <c r="Q296" i="9"/>
  <c r="M296" i="9"/>
  <c r="N296" i="9"/>
  <c r="Q318" i="9"/>
  <c r="P318" i="9"/>
  <c r="N318" i="9"/>
  <c r="M318" i="9"/>
  <c r="O318" i="9"/>
  <c r="O300" i="9"/>
  <c r="M300" i="9"/>
  <c r="P300" i="9"/>
  <c r="Q300" i="9"/>
  <c r="N300" i="9"/>
  <c r="M285" i="9"/>
  <c r="N309" i="9"/>
  <c r="M304" i="9"/>
  <c r="P304" i="9"/>
  <c r="Q304" i="9"/>
  <c r="N304" i="9"/>
  <c r="O304" i="9"/>
  <c r="O312" i="9"/>
  <c r="P312" i="9"/>
  <c r="M312" i="9"/>
  <c r="Q312" i="9"/>
  <c r="N312" i="9"/>
  <c r="M302" i="9"/>
  <c r="Q302" i="9"/>
  <c r="N302" i="9"/>
  <c r="P302" i="9"/>
  <c r="O302" i="9"/>
  <c r="N310" i="9"/>
  <c r="M310" i="9"/>
  <c r="O310" i="9"/>
  <c r="Q310" i="9"/>
  <c r="P310" i="9"/>
  <c r="Q290" i="9"/>
  <c r="O290" i="9"/>
  <c r="N290" i="9"/>
  <c r="P290" i="9"/>
  <c r="M290" i="9"/>
  <c r="E40" i="18"/>
  <c r="M263" i="9"/>
  <c r="P263" i="9"/>
  <c r="O263" i="9"/>
  <c r="N263" i="9"/>
  <c r="Q263" i="9"/>
  <c r="O278" i="9"/>
  <c r="P278" i="9"/>
  <c r="N278" i="9"/>
  <c r="M278" i="9"/>
  <c r="Q278" i="9"/>
  <c r="O274" i="9"/>
  <c r="M274" i="9"/>
  <c r="Q274" i="9"/>
  <c r="P274" i="9"/>
  <c r="N274" i="9"/>
  <c r="O252" i="9"/>
  <c r="P252" i="9"/>
  <c r="Q252" i="9"/>
  <c r="M252" i="9"/>
  <c r="N252" i="9"/>
  <c r="M275" i="9"/>
  <c r="O275" i="9"/>
  <c r="P275" i="9"/>
  <c r="N275" i="9"/>
  <c r="Q275" i="9"/>
  <c r="O261" i="9"/>
  <c r="P261" i="9"/>
  <c r="M261" i="9"/>
  <c r="N261" i="9"/>
  <c r="Q261" i="9"/>
  <c r="P267" i="9"/>
  <c r="M267" i="9"/>
  <c r="N267" i="9"/>
  <c r="O267" i="9"/>
  <c r="Q267" i="9"/>
  <c r="O268" i="9"/>
  <c r="M268" i="9"/>
  <c r="P268" i="9"/>
  <c r="Q268" i="9"/>
  <c r="N268" i="9"/>
  <c r="M273" i="9"/>
  <c r="P273" i="9"/>
  <c r="O273" i="9"/>
  <c r="N273" i="9"/>
  <c r="Q273" i="9"/>
  <c r="M258" i="9"/>
  <c r="P258" i="9"/>
  <c r="O258" i="9"/>
  <c r="Q258" i="9"/>
  <c r="N258" i="9"/>
  <c r="M253" i="9"/>
  <c r="O253" i="9"/>
  <c r="P253" i="9"/>
  <c r="N253" i="9"/>
  <c r="Q253" i="9"/>
  <c r="O262" i="9"/>
  <c r="M262" i="9"/>
  <c r="P262" i="9"/>
  <c r="Q262" i="9"/>
  <c r="N262" i="9"/>
  <c r="P270" i="9"/>
  <c r="M270" i="9"/>
  <c r="O270" i="9"/>
  <c r="N270" i="9"/>
  <c r="Q270" i="9"/>
  <c r="G38" i="18"/>
  <c r="O283" i="9"/>
  <c r="M283" i="9"/>
  <c r="P283" i="9"/>
  <c r="N283" i="9"/>
  <c r="Q283" i="9"/>
  <c r="M269" i="9"/>
  <c r="O269" i="9"/>
  <c r="P269" i="9"/>
  <c r="N269" i="9"/>
  <c r="Q269" i="9"/>
  <c r="Q284" i="9"/>
  <c r="M284" i="9"/>
  <c r="O284" i="9"/>
  <c r="P284" i="9"/>
  <c r="N284" i="9"/>
  <c r="M272" i="9"/>
  <c r="Q272" i="9"/>
  <c r="O272" i="9"/>
  <c r="P272" i="9"/>
  <c r="N272" i="9"/>
  <c r="M250" i="9"/>
  <c r="O250" i="9"/>
  <c r="N250" i="9"/>
  <c r="P250" i="9"/>
  <c r="Q250" i="9"/>
  <c r="M256" i="9"/>
  <c r="P256" i="9"/>
  <c r="O256" i="9"/>
  <c r="Q256" i="9"/>
  <c r="N256" i="9"/>
  <c r="M264" i="9"/>
  <c r="O264" i="9"/>
  <c r="P264" i="9"/>
  <c r="Q264" i="9"/>
  <c r="N264" i="9"/>
  <c r="M266" i="9"/>
  <c r="O266" i="9"/>
  <c r="P266" i="9"/>
  <c r="N266" i="9"/>
  <c r="Q266" i="9"/>
  <c r="P254" i="9"/>
  <c r="M254" i="9"/>
  <c r="O254" i="9"/>
  <c r="N254" i="9"/>
  <c r="Q254" i="9"/>
  <c r="M277" i="9"/>
  <c r="P277" i="9"/>
  <c r="N277" i="9"/>
  <c r="O277" i="9"/>
  <c r="Q277" i="9"/>
  <c r="Q280" i="9"/>
  <c r="O280" i="9"/>
  <c r="P280" i="9"/>
  <c r="N280" i="9"/>
  <c r="M280" i="9"/>
  <c r="M276" i="9"/>
  <c r="O276" i="9"/>
  <c r="P276" i="9"/>
  <c r="N276" i="9"/>
  <c r="Q276" i="9"/>
  <c r="M257" i="9"/>
  <c r="P257" i="9"/>
  <c r="O257" i="9"/>
  <c r="N257" i="9"/>
  <c r="Q257" i="9"/>
  <c r="P281" i="9"/>
  <c r="Q281" i="9"/>
  <c r="M281" i="9"/>
  <c r="N281" i="9"/>
  <c r="O281" i="9"/>
  <c r="M260" i="9"/>
  <c r="P260" i="9"/>
  <c r="Q260" i="9"/>
  <c r="O260" i="9"/>
  <c r="N260" i="9"/>
  <c r="N282" i="9"/>
  <c r="O282" i="9"/>
  <c r="P282" i="9"/>
  <c r="Q282" i="9"/>
  <c r="M282" i="9"/>
  <c r="O271" i="9"/>
  <c r="P271" i="9"/>
  <c r="M271" i="9"/>
  <c r="Q271" i="9"/>
  <c r="N271" i="9"/>
  <c r="M279" i="9"/>
  <c r="O279" i="9"/>
  <c r="P279" i="9"/>
  <c r="N279" i="9"/>
  <c r="Q279" i="9"/>
  <c r="O255" i="9"/>
  <c r="P255" i="9"/>
  <c r="M255" i="9"/>
  <c r="N255" i="9"/>
  <c r="Q255" i="9"/>
  <c r="M259" i="9"/>
  <c r="P259" i="9"/>
  <c r="O259" i="9"/>
  <c r="N259" i="9"/>
  <c r="Q259" i="9"/>
  <c r="O265" i="9"/>
  <c r="P265" i="9"/>
  <c r="M265" i="9"/>
  <c r="N265" i="9"/>
  <c r="Q265" i="9"/>
  <c r="M251" i="9"/>
  <c r="N251" i="9"/>
  <c r="P251" i="9"/>
  <c r="Q251" i="9"/>
  <c r="O251" i="9"/>
  <c r="N185" i="9"/>
  <c r="N182" i="9"/>
  <c r="O198" i="9"/>
  <c r="Q211" i="9"/>
  <c r="M198" i="9"/>
  <c r="Q185" i="9"/>
  <c r="O212" i="9"/>
  <c r="M182" i="9"/>
  <c r="O182" i="9"/>
  <c r="O183" i="9"/>
  <c r="O185" i="9"/>
  <c r="Q182" i="9"/>
  <c r="Q183" i="9"/>
  <c r="M205" i="9"/>
  <c r="N184" i="9"/>
  <c r="O203" i="9"/>
  <c r="O193" i="9"/>
  <c r="N207" i="9"/>
  <c r="M186" i="9"/>
  <c r="N187" i="9"/>
  <c r="P190" i="9"/>
  <c r="P186" i="9"/>
  <c r="Q192" i="9"/>
  <c r="P209" i="9"/>
  <c r="O190" i="9"/>
  <c r="Q209" i="9"/>
  <c r="O207" i="9"/>
  <c r="O208" i="9"/>
  <c r="P203" i="9"/>
  <c r="Q204" i="9"/>
  <c r="N204" i="9"/>
  <c r="P204" i="9"/>
  <c r="P212" i="9"/>
  <c r="O201" i="9"/>
  <c r="P207" i="9"/>
  <c r="M202" i="9"/>
  <c r="Q186" i="9"/>
  <c r="O189" i="9"/>
  <c r="M208" i="9"/>
  <c r="N211" i="9"/>
  <c r="Q198" i="9"/>
  <c r="N190" i="9"/>
  <c r="M209" i="9"/>
  <c r="N209" i="9"/>
  <c r="Q201" i="9"/>
  <c r="N212" i="9"/>
  <c r="M201" i="9"/>
  <c r="N201" i="9"/>
  <c r="N208" i="9"/>
  <c r="P211" i="9"/>
  <c r="N198" i="9"/>
  <c r="Q212" i="9"/>
  <c r="N202" i="9"/>
  <c r="P202" i="9"/>
  <c r="Q189" i="9"/>
  <c r="M195" i="9"/>
  <c r="Q196" i="9"/>
  <c r="N210" i="9"/>
  <c r="O202" i="9"/>
  <c r="O194" i="9"/>
  <c r="P194" i="9"/>
  <c r="O213" i="9"/>
  <c r="O197" i="9"/>
  <c r="Q184" i="9"/>
  <c r="P187" i="9"/>
  <c r="O206" i="9"/>
  <c r="O188" i="9"/>
  <c r="O191" i="9"/>
  <c r="O210" i="9"/>
  <c r="Q197" i="9"/>
  <c r="P184" i="9"/>
  <c r="O187" i="9"/>
  <c r="Q188" i="9"/>
  <c r="M196" i="9"/>
  <c r="P191" i="9"/>
  <c r="N191" i="9"/>
  <c r="M183" i="9"/>
  <c r="Q210" i="9"/>
  <c r="P205" i="9"/>
  <c r="M197" i="9"/>
  <c r="N197" i="9"/>
  <c r="M189" i="9"/>
  <c r="O192" i="9"/>
  <c r="M184" i="9"/>
  <c r="Q195" i="9"/>
  <c r="Q187" i="9"/>
  <c r="P193" i="9"/>
  <c r="N193" i="9"/>
  <c r="N196" i="9"/>
  <c r="P196" i="9"/>
  <c r="M188" i="9"/>
  <c r="Q191" i="9"/>
  <c r="Q205" i="9"/>
  <c r="N205" i="9"/>
  <c r="M192" i="9"/>
  <c r="O195" i="9"/>
  <c r="Q193" i="9"/>
  <c r="P183" i="9"/>
  <c r="P189" i="9"/>
  <c r="N192" i="9"/>
  <c r="P195" i="9"/>
  <c r="N188" i="9"/>
  <c r="G41" i="18"/>
  <c r="Q180" i="9"/>
  <c r="N180" i="9"/>
  <c r="M180" i="9"/>
  <c r="O180" i="9"/>
  <c r="P180" i="9"/>
  <c r="P179" i="9"/>
  <c r="N179" i="9"/>
  <c r="M179" i="9"/>
  <c r="Q179" i="9"/>
  <c r="O179" i="9"/>
  <c r="D40" i="18"/>
  <c r="P171" i="9"/>
  <c r="M171" i="9"/>
  <c r="O171" i="9"/>
  <c r="N171" i="9"/>
  <c r="Q171" i="9"/>
  <c r="Q177" i="9"/>
  <c r="M177" i="9"/>
  <c r="O177" i="9"/>
  <c r="P177" i="9"/>
  <c r="N177" i="9"/>
  <c r="M159" i="9"/>
  <c r="O159" i="9"/>
  <c r="P159" i="9"/>
  <c r="N159" i="9"/>
  <c r="Q159" i="9"/>
  <c r="M145" i="9"/>
  <c r="O145" i="9"/>
  <c r="P145" i="9"/>
  <c r="N145" i="9"/>
  <c r="Q145" i="9"/>
  <c r="M164" i="9"/>
  <c r="O164" i="9"/>
  <c r="N164" i="9"/>
  <c r="Q164" i="9"/>
  <c r="P164" i="9"/>
  <c r="M148" i="9"/>
  <c r="O148" i="9"/>
  <c r="P148" i="9"/>
  <c r="N148" i="9"/>
  <c r="Q148" i="9"/>
  <c r="M162" i="9"/>
  <c r="O162" i="9"/>
  <c r="P162" i="9"/>
  <c r="Q162" i="9"/>
  <c r="N162" i="9"/>
  <c r="M157" i="9"/>
  <c r="O157" i="9"/>
  <c r="P157" i="9"/>
  <c r="Q157" i="9"/>
  <c r="N157" i="9"/>
  <c r="G39" i="18"/>
  <c r="O178" i="9"/>
  <c r="Q178" i="9"/>
  <c r="N178" i="9"/>
  <c r="M178" i="9"/>
  <c r="P178" i="9"/>
  <c r="P176" i="9"/>
  <c r="M176" i="9"/>
  <c r="O176" i="9"/>
  <c r="N176" i="9"/>
  <c r="Q176" i="9"/>
  <c r="O174" i="9"/>
  <c r="P174" i="9"/>
  <c r="Q174" i="9"/>
  <c r="M174" i="9"/>
  <c r="N174" i="9"/>
  <c r="M144" i="9"/>
  <c r="O144" i="9"/>
  <c r="P144" i="9"/>
  <c r="Q144" i="9"/>
  <c r="N144" i="9"/>
  <c r="O172" i="9"/>
  <c r="P172" i="9"/>
  <c r="N172" i="9"/>
  <c r="M172" i="9"/>
  <c r="Q172" i="9"/>
  <c r="O160" i="9"/>
  <c r="P160" i="9"/>
  <c r="M160" i="9"/>
  <c r="Q160" i="9"/>
  <c r="N160" i="9"/>
  <c r="P161" i="9"/>
  <c r="M161" i="9"/>
  <c r="O161" i="9"/>
  <c r="Q161" i="9"/>
  <c r="N161" i="9"/>
  <c r="P156" i="9"/>
  <c r="M156" i="9"/>
  <c r="O156" i="9"/>
  <c r="N156" i="9"/>
  <c r="Q156" i="9"/>
  <c r="M154" i="9"/>
  <c r="O154" i="9"/>
  <c r="P154" i="9"/>
  <c r="Q154" i="9"/>
  <c r="N154" i="9"/>
  <c r="M168" i="9"/>
  <c r="O168" i="9"/>
  <c r="P168" i="9"/>
  <c r="N168" i="9"/>
  <c r="Q168" i="9"/>
  <c r="O175" i="9"/>
  <c r="M175" i="9"/>
  <c r="P175" i="9"/>
  <c r="Q175" i="9"/>
  <c r="N175" i="9"/>
  <c r="O170" i="9"/>
  <c r="N170" i="9"/>
  <c r="Q170" i="9"/>
  <c r="P170" i="9"/>
  <c r="M170" i="9"/>
  <c r="P163" i="9"/>
  <c r="M163" i="9"/>
  <c r="O163" i="9"/>
  <c r="N163" i="9"/>
  <c r="Q163" i="9"/>
  <c r="M169" i="9"/>
  <c r="O169" i="9"/>
  <c r="N169" i="9"/>
  <c r="Q169" i="9"/>
  <c r="P169" i="9"/>
  <c r="M153" i="9"/>
  <c r="O153" i="9"/>
  <c r="P153" i="9"/>
  <c r="N153" i="9"/>
  <c r="Q153" i="9"/>
  <c r="O155" i="9"/>
  <c r="P155" i="9"/>
  <c r="N155" i="9"/>
  <c r="Q155" i="9"/>
  <c r="M155" i="9"/>
  <c r="P147" i="9"/>
  <c r="M147" i="9"/>
  <c r="O147" i="9"/>
  <c r="N147" i="9"/>
  <c r="Q147" i="9"/>
  <c r="M152" i="9"/>
  <c r="O152" i="9"/>
  <c r="N152" i="9"/>
  <c r="P152" i="9"/>
  <c r="Q152" i="9"/>
  <c r="M173" i="9"/>
  <c r="P173" i="9"/>
  <c r="O173" i="9"/>
  <c r="N173" i="9"/>
  <c r="Q173" i="9"/>
  <c r="M165" i="9"/>
  <c r="O165" i="9"/>
  <c r="P165" i="9"/>
  <c r="N165" i="9"/>
  <c r="Q165" i="9"/>
  <c r="O166" i="9"/>
  <c r="P166" i="9"/>
  <c r="Q166" i="9"/>
  <c r="M166" i="9"/>
  <c r="N166" i="9"/>
  <c r="O158" i="9"/>
  <c r="P158" i="9"/>
  <c r="M158" i="9"/>
  <c r="Q158" i="9"/>
  <c r="N158" i="9"/>
  <c r="M167" i="9"/>
  <c r="O167" i="9"/>
  <c r="P167" i="9"/>
  <c r="N167" i="9"/>
  <c r="Q167" i="9"/>
  <c r="M151" i="9"/>
  <c r="O151" i="9"/>
  <c r="P151" i="9"/>
  <c r="N151" i="9"/>
  <c r="Q151" i="9"/>
  <c r="O149" i="9"/>
  <c r="P149" i="9"/>
  <c r="Q149" i="9"/>
  <c r="M149" i="9"/>
  <c r="N149" i="9"/>
  <c r="M146" i="9"/>
  <c r="O146" i="9"/>
  <c r="P146" i="9"/>
  <c r="Q146" i="9"/>
  <c r="N146" i="9"/>
  <c r="M150" i="9"/>
  <c r="O150" i="9"/>
  <c r="P150" i="9"/>
  <c r="Q150" i="9"/>
  <c r="N150" i="9"/>
  <c r="F12" i="8"/>
  <c r="Q45" i="9"/>
  <c r="P45" i="9"/>
  <c r="M54" i="9"/>
  <c r="P67" i="9"/>
  <c r="N51" i="9"/>
  <c r="O61" i="9"/>
  <c r="M51" i="9"/>
  <c r="C40" i="18"/>
  <c r="M53" i="9"/>
  <c r="Q62" i="9"/>
  <c r="M62" i="9"/>
  <c r="Q53" i="9"/>
  <c r="P48" i="9"/>
  <c r="O39" i="9"/>
  <c r="N42" i="9"/>
  <c r="N53" i="9"/>
  <c r="Q48" i="9"/>
  <c r="M48" i="9"/>
  <c r="Q71" i="9"/>
  <c r="P55" i="9"/>
  <c r="F14" i="8"/>
  <c r="F13" i="8" s="1"/>
  <c r="O62" i="9"/>
  <c r="O43" i="9"/>
  <c r="O67" i="9"/>
  <c r="O71" i="9"/>
  <c r="M40" i="9"/>
  <c r="P51" i="9"/>
  <c r="O64" i="9"/>
  <c r="P64" i="9"/>
  <c r="P59" i="9"/>
  <c r="N62" i="9"/>
  <c r="Q54" i="9"/>
  <c r="M67" i="9"/>
  <c r="Q40" i="9"/>
  <c r="Q42" i="9"/>
  <c r="N52" i="9"/>
  <c r="P42" i="9"/>
  <c r="N49" i="9"/>
  <c r="P60" i="9"/>
  <c r="Q39" i="9"/>
  <c r="P39" i="9"/>
  <c r="O50" i="9"/>
  <c r="M52" i="9"/>
  <c r="Q65" i="9"/>
  <c r="P49" i="9"/>
  <c r="N54" i="9"/>
  <c r="N41" i="9"/>
  <c r="M65" i="9"/>
  <c r="O42" i="9"/>
  <c r="M66" i="9"/>
  <c r="O46" i="9"/>
  <c r="O49" i="9"/>
  <c r="N43" i="9"/>
  <c r="N63" i="9"/>
  <c r="Q60" i="9"/>
  <c r="N68" i="9"/>
  <c r="N44" i="9"/>
  <c r="Q52" i="9"/>
  <c r="P65" i="9"/>
  <c r="O66" i="9"/>
  <c r="Q49" i="9"/>
  <c r="P63" i="9"/>
  <c r="N60" i="9"/>
  <c r="O72" i="9"/>
  <c r="O41" i="9"/>
  <c r="Q61" i="9"/>
  <c r="Q70" i="9"/>
  <c r="M46" i="9"/>
  <c r="O58" i="9"/>
  <c r="M44" i="9"/>
  <c r="P52" i="9"/>
  <c r="N65" i="9"/>
  <c r="N46" i="9"/>
  <c r="M63" i="9"/>
  <c r="Q46" i="9"/>
  <c r="N72" i="9"/>
  <c r="M41" i="9"/>
  <c r="M61" i="9"/>
  <c r="N66" i="9"/>
  <c r="N70" i="9"/>
  <c r="P50" i="9"/>
  <c r="N58" i="9"/>
  <c r="P44" i="9"/>
  <c r="O60" i="9"/>
  <c r="P72" i="9"/>
  <c r="Q41" i="9"/>
  <c r="N61" i="9"/>
  <c r="Q66" i="9"/>
  <c r="Q50" i="9"/>
  <c r="Q58" i="9"/>
  <c r="Q44" i="9"/>
  <c r="Q72" i="9"/>
  <c r="Q47" i="9"/>
  <c r="O47" i="9"/>
  <c r="Q59" i="9"/>
  <c r="M59" i="9"/>
  <c r="Q43" i="9"/>
  <c r="M71" i="9"/>
  <c r="O55" i="9"/>
  <c r="O68" i="9"/>
  <c r="M47" i="9"/>
  <c r="N59" i="9"/>
  <c r="M43" i="9"/>
  <c r="N71" i="9"/>
  <c r="N55" i="9"/>
  <c r="M68" i="9"/>
  <c r="Q55" i="9"/>
  <c r="Q68" i="9"/>
  <c r="N83" i="9"/>
  <c r="O83" i="9"/>
  <c r="P83" i="9"/>
  <c r="Q83" i="9"/>
  <c r="M83" i="9"/>
  <c r="P94" i="9"/>
  <c r="M94" i="9"/>
  <c r="Q94" i="9"/>
  <c r="N94" i="9"/>
  <c r="O94" i="9"/>
  <c r="N105" i="9"/>
  <c r="O105" i="9"/>
  <c r="P105" i="9"/>
  <c r="M105" i="9"/>
  <c r="Q105" i="9"/>
  <c r="N97" i="9"/>
  <c r="O97" i="9"/>
  <c r="P97" i="9"/>
  <c r="M97" i="9"/>
  <c r="Q97" i="9"/>
  <c r="N89" i="9"/>
  <c r="O89" i="9"/>
  <c r="P89" i="9"/>
  <c r="M89" i="9"/>
  <c r="Q89" i="9"/>
  <c r="N81" i="9"/>
  <c r="O81" i="9"/>
  <c r="P81" i="9"/>
  <c r="M81" i="9"/>
  <c r="Q81" i="9"/>
  <c r="N73" i="9"/>
  <c r="P73" i="9"/>
  <c r="M73" i="9"/>
  <c r="Q73" i="9"/>
  <c r="O73" i="9"/>
  <c r="P100" i="9"/>
  <c r="M100" i="9"/>
  <c r="Q100" i="9"/>
  <c r="N100" i="9"/>
  <c r="O100" i="9"/>
  <c r="P92" i="9"/>
  <c r="M92" i="9"/>
  <c r="Q92" i="9"/>
  <c r="N92" i="9"/>
  <c r="O92" i="9"/>
  <c r="P84" i="9"/>
  <c r="M84" i="9"/>
  <c r="Q84" i="9"/>
  <c r="N84" i="9"/>
  <c r="O84" i="9"/>
  <c r="P76" i="9"/>
  <c r="M76" i="9"/>
  <c r="Q76" i="9"/>
  <c r="N76" i="9"/>
  <c r="O76" i="9"/>
  <c r="N107" i="9"/>
  <c r="O107" i="9"/>
  <c r="P107" i="9"/>
  <c r="Q107" i="9"/>
  <c r="M107" i="9"/>
  <c r="N91" i="9"/>
  <c r="O91" i="9"/>
  <c r="P91" i="9"/>
  <c r="Q91" i="9"/>
  <c r="M91" i="9"/>
  <c r="N74" i="9"/>
  <c r="O74" i="9"/>
  <c r="M74" i="9"/>
  <c r="P74" i="9"/>
  <c r="Q74" i="9"/>
  <c r="P78" i="9"/>
  <c r="M78" i="9"/>
  <c r="Q78" i="9"/>
  <c r="N78" i="9"/>
  <c r="O78" i="9"/>
  <c r="N103" i="9"/>
  <c r="O103" i="9"/>
  <c r="P103" i="9"/>
  <c r="M103" i="9"/>
  <c r="Q103" i="9"/>
  <c r="N95" i="9"/>
  <c r="O95" i="9"/>
  <c r="P95" i="9"/>
  <c r="M95" i="9"/>
  <c r="Q95" i="9"/>
  <c r="N87" i="9"/>
  <c r="O87" i="9"/>
  <c r="P87" i="9"/>
  <c r="M87" i="9"/>
  <c r="Q87" i="9"/>
  <c r="N79" i="9"/>
  <c r="O79" i="9"/>
  <c r="P79" i="9"/>
  <c r="M79" i="9"/>
  <c r="Q79" i="9"/>
  <c r="P106" i="9"/>
  <c r="M106" i="9"/>
  <c r="Q106" i="9"/>
  <c r="N106" i="9"/>
  <c r="O106" i="9"/>
  <c r="P98" i="9"/>
  <c r="M98" i="9"/>
  <c r="Q98" i="9"/>
  <c r="N98" i="9"/>
  <c r="O98" i="9"/>
  <c r="P90" i="9"/>
  <c r="M90" i="9"/>
  <c r="Q90" i="9"/>
  <c r="N90" i="9"/>
  <c r="O90" i="9"/>
  <c r="P82" i="9"/>
  <c r="M82" i="9"/>
  <c r="Q82" i="9"/>
  <c r="N82" i="9"/>
  <c r="O82" i="9"/>
  <c r="N99" i="9"/>
  <c r="O99" i="9"/>
  <c r="P99" i="9"/>
  <c r="Q99" i="9"/>
  <c r="M99" i="9"/>
  <c r="P102" i="9"/>
  <c r="M102" i="9"/>
  <c r="Q102" i="9"/>
  <c r="N102" i="9"/>
  <c r="O102" i="9"/>
  <c r="P86" i="9"/>
  <c r="M86" i="9"/>
  <c r="Q86" i="9"/>
  <c r="N86" i="9"/>
  <c r="O86" i="9"/>
  <c r="M75" i="9"/>
  <c r="N75" i="9"/>
  <c r="O75" i="9"/>
  <c r="P75" i="9"/>
  <c r="Q75" i="9"/>
  <c r="N101" i="9"/>
  <c r="O101" i="9"/>
  <c r="P101" i="9"/>
  <c r="M101" i="9"/>
  <c r="Q101" i="9"/>
  <c r="N93" i="9"/>
  <c r="O93" i="9"/>
  <c r="P93" i="9"/>
  <c r="M93" i="9"/>
  <c r="Q93" i="9"/>
  <c r="N85" i="9"/>
  <c r="O85" i="9"/>
  <c r="P85" i="9"/>
  <c r="M85" i="9"/>
  <c r="Q85" i="9"/>
  <c r="N77" i="9"/>
  <c r="O77" i="9"/>
  <c r="P77" i="9"/>
  <c r="M77" i="9"/>
  <c r="Q77" i="9"/>
  <c r="P104" i="9"/>
  <c r="M104" i="9"/>
  <c r="Q104" i="9"/>
  <c r="N104" i="9"/>
  <c r="O104" i="9"/>
  <c r="P96" i="9"/>
  <c r="M96" i="9"/>
  <c r="Q96" i="9"/>
  <c r="N96" i="9"/>
  <c r="O96" i="9"/>
  <c r="P88" i="9"/>
  <c r="M88" i="9"/>
  <c r="Q88" i="9"/>
  <c r="N88" i="9"/>
  <c r="O88" i="9"/>
  <c r="P80" i="9"/>
  <c r="M80" i="9"/>
  <c r="Q80" i="9"/>
  <c r="N80" i="9"/>
  <c r="O80" i="9"/>
  <c r="L84" i="24" l="1"/>
  <c r="L74" i="24"/>
  <c r="L73" i="24"/>
  <c r="L71" i="24"/>
  <c r="L78" i="24"/>
  <c r="L67" i="24"/>
  <c r="L77" i="24"/>
  <c r="L68" i="24"/>
  <c r="L75" i="24"/>
  <c r="L82" i="24"/>
  <c r="L72" i="24"/>
  <c r="L79" i="24"/>
  <c r="L70" i="24"/>
  <c r="L69" i="24"/>
  <c r="L83" i="24"/>
  <c r="L81" i="24"/>
  <c r="L80" i="24"/>
  <c r="L86" i="24"/>
  <c r="L76" i="24"/>
  <c r="L85" i="24"/>
  <c r="Y67" i="24"/>
  <c r="Y71" i="24"/>
  <c r="Y72" i="24"/>
  <c r="Y80" i="24"/>
  <c r="Y85" i="24"/>
  <c r="Y75" i="24"/>
  <c r="Y81" i="24"/>
  <c r="Y78" i="24"/>
  <c r="Y76" i="24"/>
  <c r="Y82" i="24"/>
  <c r="Y77" i="24"/>
  <c r="Y73" i="24"/>
  <c r="Y68" i="24"/>
  <c r="Y86" i="24"/>
  <c r="Y79" i="24"/>
  <c r="Y69" i="24"/>
  <c r="Y83" i="24"/>
  <c r="Y70" i="24"/>
  <c r="Y74" i="24"/>
  <c r="Y84" i="24"/>
  <c r="O206" i="8"/>
  <c r="O205" i="8" s="1"/>
  <c r="O42" i="8"/>
  <c r="O167" i="8"/>
  <c r="O166" i="8" s="1"/>
  <c r="M72" i="8"/>
  <c r="M71" i="8" s="1"/>
  <c r="M137" i="8"/>
  <c r="M136" i="8" s="1"/>
  <c r="O212" i="8"/>
  <c r="O211" i="8" s="1"/>
  <c r="M194" i="8"/>
  <c r="M193" i="8" s="1"/>
  <c r="O50" i="8"/>
  <c r="O49" i="8" s="1"/>
  <c r="O134" i="8"/>
  <c r="O133" i="8" s="1"/>
  <c r="M170" i="8"/>
  <c r="M169" i="8" s="1"/>
  <c r="O170" i="8"/>
  <c r="O169" i="8" s="1"/>
  <c r="O27" i="8"/>
  <c r="O126" i="8"/>
  <c r="M173" i="8"/>
  <c r="M172" i="8" s="1"/>
  <c r="M179" i="8"/>
  <c r="M178" i="8" s="1"/>
  <c r="M182" i="8"/>
  <c r="M181" i="8" s="1"/>
  <c r="O192" i="8"/>
  <c r="O182" i="8"/>
  <c r="O181" i="8" s="1"/>
  <c r="O222" i="8"/>
  <c r="M122" i="8"/>
  <c r="M121" i="8" s="1"/>
  <c r="O227" i="8"/>
  <c r="O226" i="8" s="1"/>
  <c r="O207" i="8"/>
  <c r="O108" i="8"/>
  <c r="O99" i="8"/>
  <c r="O98" i="8" s="1"/>
  <c r="M224" i="8"/>
  <c r="M223" i="8" s="1"/>
  <c r="O14" i="8"/>
  <c r="O13" i="8" s="1"/>
  <c r="O54" i="8"/>
  <c r="O53" i="8" s="1"/>
  <c r="M191" i="8"/>
  <c r="M190" i="8" s="1"/>
  <c r="O161" i="8"/>
  <c r="O160" i="8" s="1"/>
  <c r="O111" i="8"/>
  <c r="M63" i="8"/>
  <c r="M62" i="8" s="1"/>
  <c r="O224" i="8"/>
  <c r="O223" i="8" s="1"/>
  <c r="M54" i="8"/>
  <c r="M53" i="8" s="1"/>
  <c r="M113" i="8"/>
  <c r="M112" i="8" s="1"/>
  <c r="M206" i="8"/>
  <c r="M205" i="8" s="1"/>
  <c r="O180" i="8"/>
  <c r="O132" i="8"/>
  <c r="O155" i="8"/>
  <c r="O154" i="8" s="1"/>
  <c r="O48" i="8"/>
  <c r="O122" i="8"/>
  <c r="O121" i="8" s="1"/>
  <c r="O221" i="8"/>
  <c r="O220" i="8" s="1"/>
  <c r="M221" i="8"/>
  <c r="M220" i="8" s="1"/>
  <c r="O128" i="8"/>
  <c r="O127" i="8" s="1"/>
  <c r="O33" i="8"/>
  <c r="O191" i="8"/>
  <c r="O190" i="8" s="1"/>
  <c r="O70" i="8"/>
  <c r="O137" i="8"/>
  <c r="O136" i="8" s="1"/>
  <c r="M218" i="8"/>
  <c r="M217" i="8" s="1"/>
  <c r="M140" i="8"/>
  <c r="M139" i="8" s="1"/>
  <c r="O135" i="8"/>
  <c r="O29" i="8"/>
  <c r="O28" i="8" s="1"/>
  <c r="O113" i="8"/>
  <c r="O112" i="8" s="1"/>
  <c r="M134" i="8"/>
  <c r="M133" i="8" s="1"/>
  <c r="O168" i="8"/>
  <c r="O159" i="8"/>
  <c r="O153" i="8"/>
  <c r="O12" i="8"/>
  <c r="M60" i="8"/>
  <c r="M59" i="8" s="1"/>
  <c r="M167" i="8"/>
  <c r="M166" i="8" s="1"/>
  <c r="O97" i="8"/>
  <c r="O225" i="8"/>
  <c r="M227" i="8"/>
  <c r="M226" i="8" s="1"/>
  <c r="O138" i="8"/>
  <c r="O52" i="8"/>
  <c r="O179" i="8"/>
  <c r="O178" i="8" s="1"/>
  <c r="M96" i="8"/>
  <c r="M95" i="8" s="1"/>
  <c r="O120" i="8"/>
  <c r="M155" i="8"/>
  <c r="M154" i="8" s="1"/>
  <c r="M57" i="8"/>
  <c r="M56" i="8" s="1"/>
  <c r="O57" i="8"/>
  <c r="O56" i="8" s="1"/>
  <c r="M161" i="8"/>
  <c r="M160" i="8" s="1"/>
  <c r="O61" i="8"/>
  <c r="O63" i="8"/>
  <c r="O62" i="8" s="1"/>
  <c r="O173" i="8"/>
  <c r="O172" i="8" s="1"/>
  <c r="O36" i="8"/>
  <c r="M29" i="8"/>
  <c r="M28" i="8" s="1"/>
  <c r="M197" i="8"/>
  <c r="M196" i="8" s="1"/>
  <c r="O219" i="8"/>
  <c r="O94" i="8"/>
  <c r="M99" i="8"/>
  <c r="M98" i="8" s="1"/>
  <c r="M38" i="8"/>
  <c r="M37" i="8" s="1"/>
  <c r="O96" i="8"/>
  <c r="O95" i="8" s="1"/>
  <c r="M50" i="8"/>
  <c r="M49" i="8" s="1"/>
  <c r="O72" i="8"/>
  <c r="O71" i="8" s="1"/>
  <c r="M185" i="8"/>
  <c r="M184" i="8" s="1"/>
  <c r="M212" i="8"/>
  <c r="M211" i="8" s="1"/>
  <c r="M14" i="8"/>
  <c r="M13" i="8" s="1"/>
  <c r="O110" i="8"/>
  <c r="O109" i="8" s="1"/>
  <c r="O55" i="8"/>
  <c r="O185" i="8"/>
  <c r="O184" i="8" s="1"/>
  <c r="O218" i="8"/>
  <c r="O217" i="8" s="1"/>
  <c r="O140" i="8"/>
  <c r="O139" i="8" s="1"/>
  <c r="M110" i="8"/>
  <c r="M109" i="8" s="1"/>
  <c r="O197" i="8"/>
  <c r="O196" i="8" s="1"/>
  <c r="O209" i="8"/>
  <c r="O208" i="8" s="1"/>
  <c r="O165" i="8"/>
  <c r="M128" i="8"/>
  <c r="M127" i="8" s="1"/>
  <c r="O194" i="8"/>
  <c r="O193" i="8" s="1"/>
  <c r="O183" i="8"/>
  <c r="O60" i="8"/>
  <c r="O59" i="8" s="1"/>
  <c r="O189" i="8"/>
  <c r="M87" i="8"/>
  <c r="M86" i="8" s="1"/>
  <c r="M176" i="8"/>
  <c r="M175" i="8" s="1"/>
  <c r="O123" i="8"/>
  <c r="O82" i="8"/>
  <c r="M158" i="8"/>
  <c r="M157" i="8" s="1"/>
  <c r="M107" i="8"/>
  <c r="M106" i="8" s="1"/>
  <c r="O41" i="8"/>
  <c r="O40" i="8" s="1"/>
  <c r="M69" i="8"/>
  <c r="M68" i="8" s="1"/>
  <c r="O78" i="8"/>
  <c r="O77" i="8" s="1"/>
  <c r="O215" i="8"/>
  <c r="O214" i="8" s="1"/>
  <c r="M116" i="8"/>
  <c r="M115" i="8" s="1"/>
  <c r="M44" i="8"/>
  <c r="M43" i="8" s="1"/>
  <c r="M143" i="8"/>
  <c r="M142" i="8" s="1"/>
  <c r="O91" i="8"/>
  <c r="O21" i="8"/>
  <c r="M119" i="8"/>
  <c r="M118" i="8" s="1"/>
  <c r="O88" i="8"/>
  <c r="O149" i="8"/>
  <c r="O148" i="8" s="1"/>
  <c r="O102" i="8"/>
  <c r="O64" i="8"/>
  <c r="M81" i="8"/>
  <c r="M80" i="8" s="1"/>
  <c r="M26" i="8"/>
  <c r="M25" i="8" s="1"/>
  <c r="O18" i="8"/>
  <c r="O171" i="8"/>
  <c r="O210" i="8"/>
  <c r="M35" i="8"/>
  <c r="M34" i="8" s="1"/>
  <c r="O85" i="8"/>
  <c r="O73" i="8"/>
  <c r="O176" i="8"/>
  <c r="O175" i="8" s="1"/>
  <c r="M125" i="8"/>
  <c r="M124" i="8" s="1"/>
  <c r="O32" i="8"/>
  <c r="O31" i="8" s="1"/>
  <c r="O158" i="8"/>
  <c r="O157" i="8" s="1"/>
  <c r="O105" i="8"/>
  <c r="O146" i="8"/>
  <c r="O145" i="8" s="1"/>
  <c r="O69" i="8"/>
  <c r="O68" i="8" s="1"/>
  <c r="M78" i="8"/>
  <c r="M77" i="8" s="1"/>
  <c r="M164" i="8"/>
  <c r="M163" i="8" s="1"/>
  <c r="O116" i="8"/>
  <c r="O115" i="8" s="1"/>
  <c r="O141" i="8"/>
  <c r="O93" i="8"/>
  <c r="O92" i="8" s="1"/>
  <c r="M188" i="8"/>
  <c r="M187" i="8" s="1"/>
  <c r="O117" i="8"/>
  <c r="O35" i="8"/>
  <c r="O34" i="8" s="1"/>
  <c r="O200" i="8"/>
  <c r="O199" i="8" s="1"/>
  <c r="M149" i="8"/>
  <c r="M148" i="8" s="1"/>
  <c r="O104" i="8"/>
  <c r="O103" i="8" s="1"/>
  <c r="M131" i="8"/>
  <c r="M130" i="8" s="1"/>
  <c r="O81" i="8"/>
  <c r="O80" i="8" s="1"/>
  <c r="O26" i="8"/>
  <c r="O25" i="8" s="1"/>
  <c r="O20" i="8"/>
  <c r="O19" i="8" s="1"/>
  <c r="O195" i="8"/>
  <c r="O177" i="8"/>
  <c r="O38" i="8"/>
  <c r="O37" i="8" s="1"/>
  <c r="M209" i="8"/>
  <c r="M208" i="8" s="1"/>
  <c r="M75" i="8"/>
  <c r="M74" i="8" s="1"/>
  <c r="O174" i="8"/>
  <c r="O84" i="8"/>
  <c r="O83" i="8" s="1"/>
  <c r="M32" i="8"/>
  <c r="M31" i="8" s="1"/>
  <c r="O156" i="8"/>
  <c r="M41" i="8"/>
  <c r="M40" i="8" s="1"/>
  <c r="O144" i="8"/>
  <c r="O67" i="8"/>
  <c r="O58" i="8"/>
  <c r="M215" i="8"/>
  <c r="M214" i="8" s="1"/>
  <c r="O164" i="8"/>
  <c r="O163" i="8" s="1"/>
  <c r="O114" i="8"/>
  <c r="O143" i="8"/>
  <c r="O142" i="8" s="1"/>
  <c r="O23" i="8"/>
  <c r="O22" i="8" s="1"/>
  <c r="O186" i="8"/>
  <c r="O119" i="8"/>
  <c r="O118" i="8" s="1"/>
  <c r="M90" i="8"/>
  <c r="M89" i="8" s="1"/>
  <c r="O198" i="8"/>
  <c r="O147" i="8"/>
  <c r="M66" i="8"/>
  <c r="M65" i="8" s="1"/>
  <c r="O131" i="8"/>
  <c r="O130" i="8" s="1"/>
  <c r="O79" i="8"/>
  <c r="O24" i="8"/>
  <c r="M17" i="8"/>
  <c r="M16" i="8" s="1"/>
  <c r="O216" i="8"/>
  <c r="O204" i="8"/>
  <c r="O87" i="8"/>
  <c r="O86" i="8" s="1"/>
  <c r="O75" i="8"/>
  <c r="O74" i="8" s="1"/>
  <c r="O125" i="8"/>
  <c r="O124" i="8" s="1"/>
  <c r="M84" i="8"/>
  <c r="M83" i="8" s="1"/>
  <c r="O30" i="8"/>
  <c r="O107" i="8"/>
  <c r="O106" i="8" s="1"/>
  <c r="O39" i="8"/>
  <c r="M146" i="8"/>
  <c r="M145" i="8" s="1"/>
  <c r="O76" i="8"/>
  <c r="O213" i="8"/>
  <c r="O162" i="8"/>
  <c r="O44" i="8"/>
  <c r="O43" i="8" s="1"/>
  <c r="M93" i="8"/>
  <c r="M92" i="8" s="1"/>
  <c r="M23" i="8"/>
  <c r="M22" i="8" s="1"/>
  <c r="O188" i="8"/>
  <c r="O187" i="8" s="1"/>
  <c r="O90" i="8"/>
  <c r="O89" i="8" s="1"/>
  <c r="M200" i="8"/>
  <c r="M199" i="8" s="1"/>
  <c r="M104" i="8"/>
  <c r="M103" i="8" s="1"/>
  <c r="O66" i="8"/>
  <c r="O65" i="8" s="1"/>
  <c r="O129" i="8"/>
  <c r="M20" i="8"/>
  <c r="M19" i="8" s="1"/>
  <c r="O15" i="8"/>
  <c r="O17" i="8"/>
  <c r="O16" i="8" s="1"/>
  <c r="O45" i="8"/>
  <c r="O47" i="8"/>
  <c r="O46" i="8" s="1"/>
  <c r="M47" i="8"/>
  <c r="M46" i="8" s="1"/>
  <c r="L44" i="8"/>
  <c r="L43" i="8" s="1"/>
  <c r="L128" i="8"/>
  <c r="L127" i="8" s="1"/>
  <c r="L123" i="8"/>
  <c r="W124" i="8" s="1"/>
  <c r="L189" i="8"/>
  <c r="U190" i="8" s="1"/>
  <c r="J161" i="8"/>
  <c r="J160" i="8" s="1"/>
  <c r="L15" i="8"/>
  <c r="L209" i="8"/>
  <c r="L208" i="8" s="1"/>
  <c r="L164" i="8"/>
  <c r="L163" i="8" s="1"/>
  <c r="J75" i="8"/>
  <c r="J74" i="8" s="1"/>
  <c r="J137" i="8"/>
  <c r="J136" i="8" s="1"/>
  <c r="J66" i="8"/>
  <c r="J65" i="8" s="1"/>
  <c r="L81" i="8"/>
  <c r="L80" i="8" s="1"/>
  <c r="J224" i="8"/>
  <c r="J223" i="8" s="1"/>
  <c r="L42" i="8"/>
  <c r="L50" i="8"/>
  <c r="L49" i="8" s="1"/>
  <c r="L20" i="8"/>
  <c r="L19" i="8" s="1"/>
  <c r="J17" i="8"/>
  <c r="J16" i="8" s="1"/>
  <c r="J194" i="8"/>
  <c r="J193" i="8" s="1"/>
  <c r="L167" i="8"/>
  <c r="L166" i="8" s="1"/>
  <c r="L105" i="8"/>
  <c r="U106" i="8" s="1"/>
  <c r="L149" i="8"/>
  <c r="L148" i="8" s="1"/>
  <c r="J54" i="8"/>
  <c r="J53" i="8" s="1"/>
  <c r="U124" i="8"/>
  <c r="L97" i="8"/>
  <c r="W98" i="8" s="1"/>
  <c r="L99" i="8"/>
  <c r="L98" i="8" s="1"/>
  <c r="L218" i="8"/>
  <c r="L217" i="8" s="1"/>
  <c r="L119" i="8"/>
  <c r="L118" i="8" s="1"/>
  <c r="J170" i="8"/>
  <c r="J169" i="8" s="1"/>
  <c r="L24" i="8"/>
  <c r="L117" i="8"/>
  <c r="J179" i="8"/>
  <c r="J178" i="8" s="1"/>
  <c r="L52" i="8"/>
  <c r="J44" i="8"/>
  <c r="J43" i="8" s="1"/>
  <c r="L41" i="8"/>
  <c r="L40" i="8" s="1"/>
  <c r="L174" i="8"/>
  <c r="J72" i="8"/>
  <c r="J71" i="8" s="1"/>
  <c r="L146" i="8"/>
  <c r="L145" i="8" s="1"/>
  <c r="J209" i="8"/>
  <c r="J208" i="8" s="1"/>
  <c r="J149" i="8"/>
  <c r="J148" i="8" s="1"/>
  <c r="J50" i="8"/>
  <c r="J49" i="8" s="1"/>
  <c r="L168" i="8"/>
  <c r="L36" i="8"/>
  <c r="L113" i="8"/>
  <c r="L112" i="8" s="1"/>
  <c r="L180" i="8"/>
  <c r="W181" i="8" s="1"/>
  <c r="L195" i="8"/>
  <c r="U196" i="8" s="1"/>
  <c r="L29" i="8"/>
  <c r="L28" i="8" s="1"/>
  <c r="L204" i="8"/>
  <c r="W205" i="8" s="1"/>
  <c r="L158" i="8"/>
  <c r="L157" i="8" s="1"/>
  <c r="L70" i="8"/>
  <c r="U71" i="8" s="1"/>
  <c r="L67" i="8"/>
  <c r="U68" i="8" s="1"/>
  <c r="J131" i="8"/>
  <c r="J130" i="8" s="1"/>
  <c r="J173" i="8"/>
  <c r="J172" i="8" s="1"/>
  <c r="L91" i="8"/>
  <c r="U92" i="8" s="1"/>
  <c r="J116" i="8"/>
  <c r="J115" i="8" s="1"/>
  <c r="J212" i="8"/>
  <c r="J211" i="8" s="1"/>
  <c r="L221" i="8"/>
  <c r="L220" i="8" s="1"/>
  <c r="L192" i="8"/>
  <c r="U193" i="8" s="1"/>
  <c r="L212" i="8"/>
  <c r="L211" i="8" s="1"/>
  <c r="L143" i="8"/>
  <c r="L142" i="8" s="1"/>
  <c r="L210" i="8"/>
  <c r="W211" i="8" s="1"/>
  <c r="L183" i="8"/>
  <c r="U184" i="8" s="1"/>
  <c r="J218" i="8"/>
  <c r="J217" i="8" s="1"/>
  <c r="L194" i="8"/>
  <c r="L193" i="8" s="1"/>
  <c r="J113" i="8"/>
  <c r="J112" i="8" s="1"/>
  <c r="J38" i="8"/>
  <c r="J37" i="8" s="1"/>
  <c r="J140" i="8"/>
  <c r="J139" i="8" s="1"/>
  <c r="J57" i="8"/>
  <c r="J56" i="8" s="1"/>
  <c r="L76" i="8"/>
  <c r="L188" i="8"/>
  <c r="L187" i="8" s="1"/>
  <c r="J69" i="8"/>
  <c r="J68" i="8" s="1"/>
  <c r="L75" i="8"/>
  <c r="L74" i="8" s="1"/>
  <c r="L30" i="8"/>
  <c r="L48" i="8"/>
  <c r="J93" i="8"/>
  <c r="J92" i="8" s="1"/>
  <c r="L111" i="8"/>
  <c r="L104" i="8"/>
  <c r="L103" i="8" s="1"/>
  <c r="L156" i="8"/>
  <c r="L55" i="8"/>
  <c r="J81" i="8"/>
  <c r="J80" i="8" s="1"/>
  <c r="J188" i="8"/>
  <c r="J187" i="8" s="1"/>
  <c r="L69" i="8"/>
  <c r="L68" i="8" s="1"/>
  <c r="L73" i="8"/>
  <c r="U74" i="8" s="1"/>
  <c r="L173" i="8"/>
  <c r="L172" i="8" s="1"/>
  <c r="L23" i="8"/>
  <c r="L22" i="8" s="1"/>
  <c r="L144" i="8"/>
  <c r="W145" i="8" s="1"/>
  <c r="L198" i="8"/>
  <c r="L84" i="8"/>
  <c r="L83" i="8" s="1"/>
  <c r="L18" i="8"/>
  <c r="L176" i="8"/>
  <c r="L175" i="8" s="1"/>
  <c r="L72" i="8"/>
  <c r="L71" i="8" s="1"/>
  <c r="L227" i="8"/>
  <c r="L226" i="8" s="1"/>
  <c r="L85" i="8"/>
  <c r="L116" i="8"/>
  <c r="L115" i="8" s="1"/>
  <c r="J60" i="8"/>
  <c r="J59" i="8" s="1"/>
  <c r="J122" i="8"/>
  <c r="J121" i="8" s="1"/>
  <c r="L11" i="8"/>
  <c r="L10" i="8" s="1"/>
  <c r="L129" i="8"/>
  <c r="L225" i="8"/>
  <c r="L161" i="8"/>
  <c r="L160" i="8" s="1"/>
  <c r="L64" i="8"/>
  <c r="L200" i="8"/>
  <c r="L199" i="8" s="1"/>
  <c r="J78" i="8"/>
  <c r="J77" i="8" s="1"/>
  <c r="L153" i="8"/>
  <c r="L140" i="8"/>
  <c r="L139" i="8" s="1"/>
  <c r="J164" i="8"/>
  <c r="J163" i="8" s="1"/>
  <c r="L102" i="8"/>
  <c r="L177" i="8"/>
  <c r="L125" i="8"/>
  <c r="L124" i="8" s="1"/>
  <c r="W92" i="8"/>
  <c r="J206" i="8"/>
  <c r="J205" i="8" s="1"/>
  <c r="L39" i="8"/>
  <c r="L206" i="8"/>
  <c r="L205" i="8" s="1"/>
  <c r="L90" i="8"/>
  <c r="L89" i="8" s="1"/>
  <c r="L197" i="8"/>
  <c r="L196" i="8" s="1"/>
  <c r="J90" i="8"/>
  <c r="J89" i="8" s="1"/>
  <c r="L224" i="8"/>
  <c r="L223" i="8" s="1"/>
  <c r="L27" i="8"/>
  <c r="L219" i="8"/>
  <c r="W220" i="8" s="1"/>
  <c r="J99" i="8"/>
  <c r="J98" i="8" s="1"/>
  <c r="J197" i="8"/>
  <c r="J196" i="8" s="1"/>
  <c r="L207" i="8"/>
  <c r="W208" i="8" s="1"/>
  <c r="L88" i="8"/>
  <c r="W89" i="8" s="1"/>
  <c r="L222" i="8"/>
  <c r="W223" i="8" s="1"/>
  <c r="J41" i="8"/>
  <c r="J40" i="8" s="1"/>
  <c r="L159" i="8"/>
  <c r="L134" i="8"/>
  <c r="L133" i="8" s="1"/>
  <c r="L114" i="8"/>
  <c r="L32" i="8"/>
  <c r="L31" i="8" s="1"/>
  <c r="L14" i="8"/>
  <c r="L13" i="8" s="1"/>
  <c r="J128" i="8"/>
  <c r="J127" i="8" s="1"/>
  <c r="L9" i="8"/>
  <c r="L12" i="8"/>
  <c r="L110" i="8"/>
  <c r="L109" i="8" s="1"/>
  <c r="J146" i="8"/>
  <c r="J145" i="8" s="1"/>
  <c r="J200" i="8"/>
  <c r="J199" i="8" s="1"/>
  <c r="L38" i="8"/>
  <c r="L37" i="8" s="1"/>
  <c r="L138" i="8"/>
  <c r="J176" i="8"/>
  <c r="J175" i="8" s="1"/>
  <c r="J32" i="8"/>
  <c r="J31" i="8" s="1"/>
  <c r="J14" i="8"/>
  <c r="J13" i="8" s="1"/>
  <c r="L126" i="8"/>
  <c r="J110" i="8"/>
  <c r="J109" i="8" s="1"/>
  <c r="J155" i="8"/>
  <c r="J154" i="8" s="1"/>
  <c r="J20" i="8"/>
  <c r="J19" i="8" s="1"/>
  <c r="J87" i="8"/>
  <c r="J86" i="8" s="1"/>
  <c r="J182" i="8"/>
  <c r="J181" i="8" s="1"/>
  <c r="L131" i="8"/>
  <c r="L130" i="8" s="1"/>
  <c r="L107" i="8"/>
  <c r="L106" i="8" s="1"/>
  <c r="L213" i="8"/>
  <c r="L179" i="8"/>
  <c r="L178" i="8" s="1"/>
  <c r="J26" i="8"/>
  <c r="J25" i="8" s="1"/>
  <c r="J119" i="8"/>
  <c r="J118" i="8" s="1"/>
  <c r="L79" i="8"/>
  <c r="L26" i="8"/>
  <c r="L25" i="8" s="1"/>
  <c r="J84" i="8"/>
  <c r="J83" i="8" s="1"/>
  <c r="J23" i="8"/>
  <c r="J22" i="8" s="1"/>
  <c r="J107" i="8"/>
  <c r="J106" i="8" s="1"/>
  <c r="L108" i="8"/>
  <c r="L135" i="8"/>
  <c r="W136" i="8" s="1"/>
  <c r="L185" i="8"/>
  <c r="L184" i="8" s="1"/>
  <c r="L63" i="8"/>
  <c r="L62" i="8" s="1"/>
  <c r="L137" i="8"/>
  <c r="L136" i="8" s="1"/>
  <c r="J221" i="8"/>
  <c r="J220" i="8" s="1"/>
  <c r="J29" i="8"/>
  <c r="J28" i="8" s="1"/>
  <c r="J167" i="8"/>
  <c r="J166" i="8" s="1"/>
  <c r="J191" i="8"/>
  <c r="J190" i="8" s="1"/>
  <c r="L57" i="8"/>
  <c r="L56" i="8" s="1"/>
  <c r="J185" i="8"/>
  <c r="J184" i="8" s="1"/>
  <c r="J143" i="8"/>
  <c r="J142" i="8" s="1"/>
  <c r="L141" i="8"/>
  <c r="W142" i="8" s="1"/>
  <c r="L191" i="8"/>
  <c r="L190" i="8" s="1"/>
  <c r="L216" i="8"/>
  <c r="U217" i="8" s="1"/>
  <c r="L165" i="8"/>
  <c r="U166" i="8" s="1"/>
  <c r="L82" i="8"/>
  <c r="U83" i="8" s="1"/>
  <c r="J47" i="8"/>
  <c r="J46" i="8" s="1"/>
  <c r="J215" i="8"/>
  <c r="J214" i="8" s="1"/>
  <c r="L122" i="8"/>
  <c r="L121" i="8" s="1"/>
  <c r="L96" i="8"/>
  <c r="L95" i="8" s="1"/>
  <c r="J227" i="8"/>
  <c r="J226" i="8" s="1"/>
  <c r="L54" i="8"/>
  <c r="L53" i="8" s="1"/>
  <c r="J125" i="8"/>
  <c r="J124" i="8" s="1"/>
  <c r="L60" i="8"/>
  <c r="L59" i="8" s="1"/>
  <c r="L87" i="8"/>
  <c r="L86" i="8" s="1"/>
  <c r="L182" i="8"/>
  <c r="L181" i="8" s="1"/>
  <c r="L132" i="8"/>
  <c r="L45" i="8"/>
  <c r="L215" i="8"/>
  <c r="L214" i="8" s="1"/>
  <c r="L120" i="8"/>
  <c r="L94" i="8"/>
  <c r="L155" i="8"/>
  <c r="L154" i="8" s="1"/>
  <c r="L58" i="8"/>
  <c r="J11" i="8"/>
  <c r="J10" i="8" s="1"/>
  <c r="L66" i="8"/>
  <c r="L65" i="8" s="1"/>
  <c r="L147" i="8"/>
  <c r="J104" i="8"/>
  <c r="J103" i="8" s="1"/>
  <c r="J158" i="8"/>
  <c r="J157" i="8" s="1"/>
  <c r="L162" i="8"/>
  <c r="L78" i="8"/>
  <c r="L77" i="8" s="1"/>
  <c r="L186" i="8"/>
  <c r="L21" i="8"/>
  <c r="J134" i="8"/>
  <c r="J133" i="8" s="1"/>
  <c r="L171" i="8"/>
  <c r="L93" i="8"/>
  <c r="L92" i="8" s="1"/>
  <c r="L47" i="8"/>
  <c r="L46" i="8" s="1"/>
  <c r="J96" i="8"/>
  <c r="J95" i="8" s="1"/>
  <c r="L17" i="8"/>
  <c r="L16" i="8" s="1"/>
  <c r="L170" i="8"/>
  <c r="L169" i="8" s="1"/>
  <c r="J63" i="8"/>
  <c r="J62" i="8" s="1"/>
  <c r="L61" i="8"/>
  <c r="W74" i="8"/>
  <c r="J35" i="8"/>
  <c r="J34" i="8" s="1"/>
  <c r="L35" i="8"/>
  <c r="L34" i="8" s="1"/>
  <c r="L33" i="8"/>
  <c r="I38" i="8"/>
  <c r="I37" i="8" s="1"/>
  <c r="G40" i="18"/>
  <c r="I126" i="8"/>
  <c r="X126" i="8" s="1"/>
  <c r="I66" i="8"/>
  <c r="I65" i="8" s="1"/>
  <c r="G14" i="8"/>
  <c r="G13" i="8" s="1"/>
  <c r="I167" i="8"/>
  <c r="I166" i="8" s="1"/>
  <c r="I11" i="8"/>
  <c r="I10" i="8" s="1"/>
  <c r="I82" i="8"/>
  <c r="V82" i="8" s="1"/>
  <c r="I23" i="8"/>
  <c r="I22" i="8" s="1"/>
  <c r="I27" i="8"/>
  <c r="I32" i="8"/>
  <c r="I31" i="8" s="1"/>
  <c r="G38" i="8"/>
  <c r="G37" i="8" s="1"/>
  <c r="G29" i="8"/>
  <c r="G28" i="8" s="1"/>
  <c r="I36" i="8"/>
  <c r="I131" i="8"/>
  <c r="I130" i="8" s="1"/>
  <c r="G173" i="8"/>
  <c r="G172" i="8" s="1"/>
  <c r="G122" i="8"/>
  <c r="G121" i="8" s="1"/>
  <c r="I24" i="8"/>
  <c r="T179" i="9"/>
  <c r="G149" i="8"/>
  <c r="G148" i="8" s="1"/>
  <c r="I87" i="8"/>
  <c r="I86" i="8" s="1"/>
  <c r="I146" i="8"/>
  <c r="I145" i="8" s="1"/>
  <c r="G212" i="8"/>
  <c r="G211" i="8" s="1"/>
  <c r="I12" i="8"/>
  <c r="I144" i="8"/>
  <c r="V144" i="8" s="1"/>
  <c r="I215" i="8"/>
  <c r="I214" i="8" s="1"/>
  <c r="I177" i="8"/>
  <c r="I191" i="8"/>
  <c r="I190" i="8" s="1"/>
  <c r="I44" i="8"/>
  <c r="I43" i="8" s="1"/>
  <c r="I183" i="8"/>
  <c r="I219" i="8"/>
  <c r="I171" i="8"/>
  <c r="I15" i="8"/>
  <c r="G176" i="8"/>
  <c r="G175" i="8" s="1"/>
  <c r="I57" i="8"/>
  <c r="I56" i="8" s="1"/>
  <c r="G128" i="8"/>
  <c r="G127" i="8" s="1"/>
  <c r="G215" i="8"/>
  <c r="G214" i="8" s="1"/>
  <c r="G26" i="8"/>
  <c r="G25" i="8" s="1"/>
  <c r="G188" i="8"/>
  <c r="G187" i="8" s="1"/>
  <c r="G179" i="8"/>
  <c r="G178" i="8" s="1"/>
  <c r="I195" i="8"/>
  <c r="V195" i="8" s="1"/>
  <c r="I78" i="8"/>
  <c r="I77" i="8" s="1"/>
  <c r="I216" i="8"/>
  <c r="G35" i="8"/>
  <c r="G34" i="8" s="1"/>
  <c r="I212" i="8"/>
  <c r="I211" i="8" s="1"/>
  <c r="G93" i="8"/>
  <c r="G92" i="8" s="1"/>
  <c r="I30" i="8"/>
  <c r="I189" i="8"/>
  <c r="I161" i="8"/>
  <c r="I160" i="8" s="1"/>
  <c r="G17" i="8"/>
  <c r="G16" i="8" s="1"/>
  <c r="I67" i="8"/>
  <c r="G200" i="8"/>
  <c r="G199" i="8" s="1"/>
  <c r="I114" i="8"/>
  <c r="I72" i="8"/>
  <c r="I71" i="8" s="1"/>
  <c r="I206" i="8"/>
  <c r="I205" i="8" s="1"/>
  <c r="G110" i="8"/>
  <c r="G109" i="8" s="1"/>
  <c r="I104" i="8"/>
  <c r="I103" i="8" s="1"/>
  <c r="G143" i="8"/>
  <c r="G142" i="8" s="1"/>
  <c r="I81" i="8"/>
  <c r="I80" i="8" s="1"/>
  <c r="G44" i="8"/>
  <c r="G43" i="8" s="1"/>
  <c r="I55" i="8"/>
  <c r="I176" i="8"/>
  <c r="I175" i="8" s="1"/>
  <c r="I174" i="8"/>
  <c r="V174" i="8" s="1"/>
  <c r="I188" i="8"/>
  <c r="I187" i="8" s="1"/>
  <c r="I35" i="8"/>
  <c r="I34" i="8" s="1"/>
  <c r="I186" i="8"/>
  <c r="V186" i="8" s="1"/>
  <c r="G131" i="8"/>
  <c r="G130" i="8" s="1"/>
  <c r="I69" i="8"/>
  <c r="I68" i="8" s="1"/>
  <c r="G116" i="8"/>
  <c r="G115" i="8" s="1"/>
  <c r="I120" i="8"/>
  <c r="G155" i="8"/>
  <c r="G154" i="8" s="1"/>
  <c r="I108" i="8"/>
  <c r="I60" i="8"/>
  <c r="I59" i="8" s="1"/>
  <c r="G20" i="8"/>
  <c r="G19" i="8" s="1"/>
  <c r="I79" i="8"/>
  <c r="I168" i="8"/>
  <c r="G84" i="8"/>
  <c r="G83" i="8" s="1"/>
  <c r="I207" i="8"/>
  <c r="G185" i="8"/>
  <c r="G184" i="8" s="1"/>
  <c r="I97" i="8"/>
  <c r="I153" i="8"/>
  <c r="G54" i="8"/>
  <c r="G53" i="8" s="1"/>
  <c r="I58" i="8"/>
  <c r="G182" i="8"/>
  <c r="G181" i="8" s="1"/>
  <c r="I222" i="8"/>
  <c r="I197" i="8"/>
  <c r="I196" i="8" s="1"/>
  <c r="I20" i="8"/>
  <c r="I19" i="8" s="1"/>
  <c r="I128" i="8"/>
  <c r="I127" i="8" s="1"/>
  <c r="I17" i="8"/>
  <c r="I16" i="8" s="1"/>
  <c r="G57" i="8"/>
  <c r="G56" i="8" s="1"/>
  <c r="I213" i="8"/>
  <c r="V213" i="8" s="1"/>
  <c r="I26" i="8"/>
  <c r="I25" i="8" s="1"/>
  <c r="G170" i="8"/>
  <c r="G169" i="8" s="1"/>
  <c r="G134" i="8"/>
  <c r="G133" i="8" s="1"/>
  <c r="I209" i="8"/>
  <c r="I208" i="8" s="1"/>
  <c r="I158" i="8"/>
  <c r="I157" i="8" s="1"/>
  <c r="G99" i="8"/>
  <c r="G98" i="8" s="1"/>
  <c r="I21" i="8"/>
  <c r="G137" i="8"/>
  <c r="G136" i="8" s="1"/>
  <c r="G164" i="8"/>
  <c r="G163" i="8" s="1"/>
  <c r="I180" i="8"/>
  <c r="G224" i="8"/>
  <c r="G223" i="8" s="1"/>
  <c r="G197" i="8"/>
  <c r="G196" i="8" s="1"/>
  <c r="I113" i="8"/>
  <c r="I112" i="8" s="1"/>
  <c r="G218" i="8"/>
  <c r="G217" i="8" s="1"/>
  <c r="G140" i="8"/>
  <c r="G139" i="8" s="1"/>
  <c r="I227" i="8"/>
  <c r="I226" i="8" s="1"/>
  <c r="I119" i="8"/>
  <c r="I118" i="8" s="1"/>
  <c r="I135" i="8"/>
  <c r="I221" i="8"/>
  <c r="I220" i="8" s="1"/>
  <c r="G107" i="8"/>
  <c r="G106" i="8" s="1"/>
  <c r="I9" i="8"/>
  <c r="G11" i="8"/>
  <c r="G10" i="8" s="1"/>
  <c r="I41" i="8"/>
  <c r="I40" i="8" s="1"/>
  <c r="I224" i="8"/>
  <c r="I223" i="8" s="1"/>
  <c r="I42" i="8"/>
  <c r="I132" i="8"/>
  <c r="G78" i="8"/>
  <c r="G77" i="8" s="1"/>
  <c r="I198" i="8"/>
  <c r="I218" i="8"/>
  <c r="I217" i="8" s="1"/>
  <c r="G158" i="8"/>
  <c r="G157" i="8" s="1"/>
  <c r="I138" i="8"/>
  <c r="I70" i="8"/>
  <c r="I225" i="8"/>
  <c r="G206" i="8"/>
  <c r="G205" i="8" s="1"/>
  <c r="G119" i="8"/>
  <c r="G118" i="8" s="1"/>
  <c r="I91" i="8"/>
  <c r="I137" i="8"/>
  <c r="I136" i="8" s="1"/>
  <c r="G104" i="8"/>
  <c r="G103" i="8" s="1"/>
  <c r="I162" i="8"/>
  <c r="I143" i="8"/>
  <c r="I142" i="8" s="1"/>
  <c r="I107" i="8"/>
  <c r="I106" i="8" s="1"/>
  <c r="I159" i="8"/>
  <c r="I94" i="8"/>
  <c r="I125" i="8"/>
  <c r="I124" i="8" s="1"/>
  <c r="I73" i="8"/>
  <c r="G47" i="8"/>
  <c r="G46" i="8" s="1"/>
  <c r="G194" i="8"/>
  <c r="G193" i="8" s="1"/>
  <c r="I179" i="8"/>
  <c r="I178" i="8" s="1"/>
  <c r="G146" i="8"/>
  <c r="G145" i="8" s="1"/>
  <c r="I84" i="8"/>
  <c r="I83" i="8" s="1"/>
  <c r="I76" i="8"/>
  <c r="G209" i="8"/>
  <c r="G208" i="8" s="1"/>
  <c r="G167" i="8"/>
  <c r="G166" i="8" s="1"/>
  <c r="I156" i="8"/>
  <c r="I33" i="8"/>
  <c r="I99" i="8"/>
  <c r="I98" i="8" s="1"/>
  <c r="I210" i="8"/>
  <c r="I204" i="8"/>
  <c r="I117" i="8"/>
  <c r="I110" i="8"/>
  <c r="I109" i="8" s="1"/>
  <c r="G87" i="8"/>
  <c r="G86" i="8" s="1"/>
  <c r="I102" i="8"/>
  <c r="G221" i="8"/>
  <c r="G220" i="8" s="1"/>
  <c r="I141" i="8"/>
  <c r="I105" i="8"/>
  <c r="G81" i="8"/>
  <c r="G80" i="8" s="1"/>
  <c r="G41" i="8"/>
  <c r="G40" i="8" s="1"/>
  <c r="I123" i="8"/>
  <c r="G90" i="8"/>
  <c r="G89" i="8" s="1"/>
  <c r="I47" i="8"/>
  <c r="I46" i="8" s="1"/>
  <c r="I192" i="8"/>
  <c r="I129" i="8"/>
  <c r="G69" i="8"/>
  <c r="G68" i="8" s="1"/>
  <c r="G113" i="8"/>
  <c r="G112" i="8" s="1"/>
  <c r="I29" i="8"/>
  <c r="I28" i="8" s="1"/>
  <c r="I149" i="8"/>
  <c r="I148" i="8" s="1"/>
  <c r="I165" i="8"/>
  <c r="I185" i="8"/>
  <c r="I184" i="8" s="1"/>
  <c r="I122" i="8"/>
  <c r="I121" i="8" s="1"/>
  <c r="G66" i="8"/>
  <c r="G65" i="8" s="1"/>
  <c r="I155" i="8"/>
  <c r="I154" i="8" s="1"/>
  <c r="I173" i="8"/>
  <c r="I172" i="8" s="1"/>
  <c r="I52" i="8"/>
  <c r="I85" i="8"/>
  <c r="G60" i="8"/>
  <c r="G59" i="8" s="1"/>
  <c r="I18" i="8"/>
  <c r="I14" i="8"/>
  <c r="I13" i="8" s="1"/>
  <c r="G96" i="8"/>
  <c r="G95" i="8" s="1"/>
  <c r="I39" i="8"/>
  <c r="G75" i="8"/>
  <c r="G74" i="8" s="1"/>
  <c r="I90" i="8"/>
  <c r="I89" i="8" s="1"/>
  <c r="I45" i="8"/>
  <c r="I170" i="8"/>
  <c r="I169" i="8" s="1"/>
  <c r="I134" i="8"/>
  <c r="I133" i="8" s="1"/>
  <c r="I111" i="8"/>
  <c r="I200" i="8"/>
  <c r="I199" i="8" s="1"/>
  <c r="I147" i="8"/>
  <c r="I116" i="8"/>
  <c r="I115" i="8" s="1"/>
  <c r="I140" i="8"/>
  <c r="I139" i="8" s="1"/>
  <c r="G72" i="8"/>
  <c r="G71" i="8" s="1"/>
  <c r="I64" i="8"/>
  <c r="G227" i="8"/>
  <c r="G226" i="8" s="1"/>
  <c r="G23" i="8"/>
  <c r="G22" i="8" s="1"/>
  <c r="I93" i="8"/>
  <c r="I92" i="8" s="1"/>
  <c r="I54" i="8"/>
  <c r="I53" i="8" s="1"/>
  <c r="G32" i="8"/>
  <c r="G31" i="8" s="1"/>
  <c r="I164" i="8"/>
  <c r="I163" i="8" s="1"/>
  <c r="G191" i="8"/>
  <c r="G190" i="8" s="1"/>
  <c r="I182" i="8"/>
  <c r="I181" i="8" s="1"/>
  <c r="G161" i="8"/>
  <c r="G160" i="8" s="1"/>
  <c r="I96" i="8"/>
  <c r="I95" i="8" s="1"/>
  <c r="G125" i="8"/>
  <c r="G124" i="8" s="1"/>
  <c r="I75" i="8"/>
  <c r="I74" i="8" s="1"/>
  <c r="I88" i="8"/>
  <c r="I194" i="8"/>
  <c r="I193" i="8" s="1"/>
  <c r="G63" i="8"/>
  <c r="G62" i="8" s="1"/>
  <c r="I63" i="8"/>
  <c r="I62" i="8" s="1"/>
  <c r="I61" i="8"/>
  <c r="I50" i="8"/>
  <c r="I49" i="8" s="1"/>
  <c r="I48" i="8"/>
  <c r="G50" i="8"/>
  <c r="G49" i="8" s="1"/>
  <c r="F82" i="8"/>
  <c r="D128" i="8"/>
  <c r="F15" i="8"/>
  <c r="D209" i="8"/>
  <c r="D200" i="8"/>
  <c r="F73" i="8"/>
  <c r="F85" i="8"/>
  <c r="F113" i="8"/>
  <c r="F112" i="8" s="1"/>
  <c r="F88" i="8"/>
  <c r="F29" i="8"/>
  <c r="F28" i="8" s="1"/>
  <c r="D173" i="8"/>
  <c r="D29" i="8"/>
  <c r="F165" i="8"/>
  <c r="F129" i="8"/>
  <c r="D78" i="8"/>
  <c r="F210" i="8"/>
  <c r="D146" i="8"/>
  <c r="F171" i="8"/>
  <c r="F67" i="8"/>
  <c r="F194" i="8"/>
  <c r="F193" i="8" s="1"/>
  <c r="F69" i="8"/>
  <c r="F68" i="8" s="1"/>
  <c r="F143" i="8"/>
  <c r="F142" i="8" s="1"/>
  <c r="D107" i="8"/>
  <c r="D221" i="8"/>
  <c r="D84" i="8"/>
  <c r="F64" i="8"/>
  <c r="F167" i="8"/>
  <c r="F166" i="8" s="1"/>
  <c r="F87" i="8"/>
  <c r="F86" i="8" s="1"/>
  <c r="D125" i="8"/>
  <c r="F110" i="8"/>
  <c r="F109" i="8" s="1"/>
  <c r="D50" i="8"/>
  <c r="D35" i="8"/>
  <c r="F24" i="8"/>
  <c r="F21" i="8"/>
  <c r="F23" i="8"/>
  <c r="F22" i="8" s="1"/>
  <c r="F9" i="8"/>
  <c r="F207" i="8"/>
  <c r="F117" i="8"/>
  <c r="D167" i="8"/>
  <c r="F209" i="8"/>
  <c r="F208" i="8" s="1"/>
  <c r="D215" i="8"/>
  <c r="D197" i="8"/>
  <c r="F195" i="8"/>
  <c r="F97" i="8"/>
  <c r="F200" i="8"/>
  <c r="F199" i="8" s="1"/>
  <c r="D218" i="8"/>
  <c r="F168" i="8"/>
  <c r="D113" i="8"/>
  <c r="D44" i="8"/>
  <c r="F128" i="8"/>
  <c r="F127" i="8" s="1"/>
  <c r="D143" i="8"/>
  <c r="F131" i="8"/>
  <c r="F130" i="8" s="1"/>
  <c r="F126" i="8"/>
  <c r="F79" i="8"/>
  <c r="F159" i="8"/>
  <c r="D96" i="8"/>
  <c r="F183" i="8"/>
  <c r="F120" i="8"/>
  <c r="F182" i="8"/>
  <c r="F181" i="8" s="1"/>
  <c r="F60" i="8"/>
  <c r="F59" i="8" s="1"/>
  <c r="F219" i="8"/>
  <c r="F156" i="8"/>
  <c r="F188" i="8"/>
  <c r="F187" i="8" s="1"/>
  <c r="F107" i="8"/>
  <c r="F106" i="8" s="1"/>
  <c r="F221" i="8"/>
  <c r="F220" i="8" s="1"/>
  <c r="F185" i="8"/>
  <c r="F184" i="8" s="1"/>
  <c r="F84" i="8"/>
  <c r="F83" i="8" s="1"/>
  <c r="D63" i="8"/>
  <c r="F146" i="8"/>
  <c r="F145" i="8" s="1"/>
  <c r="D81" i="8"/>
  <c r="D119" i="8"/>
  <c r="F61" i="8"/>
  <c r="F48" i="8"/>
  <c r="D41" i="8"/>
  <c r="F35" i="8"/>
  <c r="F34" i="8" s="1"/>
  <c r="D26" i="8"/>
  <c r="F161" i="8"/>
  <c r="F160" i="8" s="1"/>
  <c r="F144" i="8"/>
  <c r="F215" i="8"/>
  <c r="F214" i="8" s="1"/>
  <c r="F197" i="8"/>
  <c r="F196" i="8" s="1"/>
  <c r="D99" i="8"/>
  <c r="F198" i="8"/>
  <c r="F218" i="8"/>
  <c r="F217" i="8" s="1"/>
  <c r="F75" i="8"/>
  <c r="F74" i="8" s="1"/>
  <c r="F132" i="8"/>
  <c r="F212" i="8"/>
  <c r="F211" i="8" s="1"/>
  <c r="F90" i="8"/>
  <c r="F89" i="8" s="1"/>
  <c r="F44" i="8"/>
  <c r="F43" i="8" s="1"/>
  <c r="D131" i="8"/>
  <c r="D161" i="8"/>
  <c r="D182" i="8"/>
  <c r="F42" i="8"/>
  <c r="F138" i="8"/>
  <c r="D87" i="8"/>
  <c r="F108" i="8"/>
  <c r="F174" i="8"/>
  <c r="F125" i="8"/>
  <c r="F124" i="8" s="1"/>
  <c r="F105" i="8"/>
  <c r="D60" i="8"/>
  <c r="F192" i="8"/>
  <c r="F111" i="8"/>
  <c r="D212" i="8"/>
  <c r="D176" i="8"/>
  <c r="F170" i="8"/>
  <c r="F169" i="8" s="1"/>
  <c r="D122" i="8"/>
  <c r="D155" i="8"/>
  <c r="F66" i="8"/>
  <c r="F65" i="8" s="1"/>
  <c r="F32" i="8"/>
  <c r="F31" i="8" s="1"/>
  <c r="F158" i="8"/>
  <c r="F157" i="8" s="1"/>
  <c r="F140" i="8"/>
  <c r="F139" i="8" s="1"/>
  <c r="F81" i="8"/>
  <c r="F80" i="8" s="1"/>
  <c r="D47" i="8"/>
  <c r="F119" i="8"/>
  <c r="F118" i="8" s="1"/>
  <c r="F63" i="8"/>
  <c r="F62" i="8" s="1"/>
  <c r="F50" i="8"/>
  <c r="F49" i="8" s="1"/>
  <c r="F45" i="8"/>
  <c r="F41" i="8"/>
  <c r="F40" i="8" s="1"/>
  <c r="F33" i="8"/>
  <c r="D32" i="8"/>
  <c r="F30" i="8"/>
  <c r="F26" i="8"/>
  <c r="F25" i="8" s="1"/>
  <c r="D23" i="8"/>
  <c r="D170" i="8"/>
  <c r="D188" i="8"/>
  <c r="F141" i="8"/>
  <c r="D140" i="8"/>
  <c r="F122" i="8"/>
  <c r="F121" i="8" s="1"/>
  <c r="D66" i="8"/>
  <c r="F11" i="8"/>
  <c r="F10" i="8" s="1"/>
  <c r="D134" i="8"/>
  <c r="F225" i="8"/>
  <c r="D149" i="8"/>
  <c r="F78" i="8"/>
  <c r="F77" i="8" s="1"/>
  <c r="D11" i="8"/>
  <c r="F213" i="8"/>
  <c r="F99" i="8"/>
  <c r="F98" i="8" s="1"/>
  <c r="D158" i="8"/>
  <c r="D185" i="8"/>
  <c r="F123" i="8"/>
  <c r="F186" i="8"/>
  <c r="D69" i="8"/>
  <c r="F176" i="8"/>
  <c r="F175" i="8" s="1"/>
  <c r="F58" i="8"/>
  <c r="D17" i="8"/>
  <c r="F91" i="8"/>
  <c r="F134" i="8"/>
  <c r="F133" i="8" s="1"/>
  <c r="F39" i="8"/>
  <c r="D75" i="8"/>
  <c r="D90" i="8"/>
  <c r="F76" i="8"/>
  <c r="F180" i="8"/>
  <c r="F173" i="8"/>
  <c r="F172" i="8" s="1"/>
  <c r="F94" i="8"/>
  <c r="F155" i="8"/>
  <c r="F154" i="8" s="1"/>
  <c r="D110" i="8"/>
  <c r="F47" i="8"/>
  <c r="F46" i="8" s="1"/>
  <c r="F17" i="8"/>
  <c r="F16" i="8" s="1"/>
  <c r="F27" i="8"/>
  <c r="F216" i="8"/>
  <c r="F153" i="8"/>
  <c r="D194" i="8"/>
  <c r="F96" i="8"/>
  <c r="F95" i="8" s="1"/>
  <c r="F20" i="8"/>
  <c r="F19" i="8" s="1"/>
  <c r="F224" i="8"/>
  <c r="F223" i="8" s="1"/>
  <c r="F114" i="8"/>
  <c r="D104" i="8"/>
  <c r="D20" i="8"/>
  <c r="F57" i="8"/>
  <c r="F56" i="8" s="1"/>
  <c r="F137" i="8"/>
  <c r="F136" i="8" s="1"/>
  <c r="F38" i="8"/>
  <c r="F37" i="8" s="1"/>
  <c r="D179" i="8"/>
  <c r="F72" i="8"/>
  <c r="F71" i="8" s="1"/>
  <c r="D72" i="8"/>
  <c r="F206" i="8"/>
  <c r="F205" i="8" s="1"/>
  <c r="F102" i="8"/>
  <c r="F227" i="8"/>
  <c r="F226" i="8" s="1"/>
  <c r="F147" i="8"/>
  <c r="F36" i="8"/>
  <c r="D57" i="8"/>
  <c r="F222" i="8"/>
  <c r="F104" i="8"/>
  <c r="F103" i="8" s="1"/>
  <c r="D227" i="8"/>
  <c r="D38" i="8"/>
  <c r="F177" i="8"/>
  <c r="F204" i="8"/>
  <c r="F191" i="8"/>
  <c r="F190" i="8" s="1"/>
  <c r="D116" i="8"/>
  <c r="F18" i="8"/>
  <c r="F55" i="8"/>
  <c r="F135" i="8"/>
  <c r="F162" i="8"/>
  <c r="F93" i="8"/>
  <c r="F92" i="8" s="1"/>
  <c r="D224" i="8"/>
  <c r="F189" i="8"/>
  <c r="F116" i="8"/>
  <c r="F115" i="8" s="1"/>
  <c r="D54" i="8"/>
  <c r="F149" i="8"/>
  <c r="F148" i="8" s="1"/>
  <c r="D137" i="8"/>
  <c r="F179" i="8"/>
  <c r="F178" i="8" s="1"/>
  <c r="D206" i="8"/>
  <c r="F70" i="8"/>
  <c r="F164" i="8"/>
  <c r="F163" i="8" s="1"/>
  <c r="D93" i="8"/>
  <c r="F52" i="8"/>
  <c r="F54" i="8"/>
  <c r="F53" i="8" s="1"/>
  <c r="D191" i="8"/>
  <c r="D164" i="8"/>
  <c r="U84" i="24" l="1"/>
  <c r="H297" i="8" s="1"/>
  <c r="J297" i="8" s="1"/>
  <c r="W84" i="24"/>
  <c r="Z297" i="8" s="1"/>
  <c r="V84" i="24"/>
  <c r="C297" i="8" s="1"/>
  <c r="T84" i="24"/>
  <c r="A297" i="8" s="1"/>
  <c r="U69" i="24"/>
  <c r="H282" i="8" s="1"/>
  <c r="J282" i="8" s="1"/>
  <c r="V69" i="24"/>
  <c r="C282" i="8" s="1"/>
  <c r="W69" i="24"/>
  <c r="Z282" i="8" s="1"/>
  <c r="T69" i="24"/>
  <c r="A282" i="8" s="1"/>
  <c r="U73" i="24"/>
  <c r="H286" i="8" s="1"/>
  <c r="J286" i="8" s="1"/>
  <c r="V73" i="24"/>
  <c r="C286" i="8" s="1"/>
  <c r="W73" i="24"/>
  <c r="Z286" i="8" s="1"/>
  <c r="T73" i="24"/>
  <c r="A286" i="8" s="1"/>
  <c r="V78" i="24"/>
  <c r="C291" i="8" s="1"/>
  <c r="W78" i="24"/>
  <c r="Z291" i="8" s="1"/>
  <c r="U78" i="24"/>
  <c r="H291" i="8" s="1"/>
  <c r="J291" i="8" s="1"/>
  <c r="T78" i="24"/>
  <c r="A291" i="8" s="1"/>
  <c r="V80" i="24"/>
  <c r="C293" i="8" s="1"/>
  <c r="W80" i="24"/>
  <c r="Z293" i="8" s="1"/>
  <c r="U80" i="24"/>
  <c r="H293" i="8" s="1"/>
  <c r="J293" i="8" s="1"/>
  <c r="T80" i="24"/>
  <c r="A293" i="8" s="1"/>
  <c r="G85" i="24"/>
  <c r="H321" i="8" s="1"/>
  <c r="J321" i="8" s="1"/>
  <c r="I85" i="24"/>
  <c r="Z321" i="8" s="1"/>
  <c r="F85" i="24"/>
  <c r="A321" i="8" s="1"/>
  <c r="H85" i="24"/>
  <c r="C321" i="8" s="1"/>
  <c r="G81" i="24"/>
  <c r="H317" i="8" s="1"/>
  <c r="J317" i="8" s="1"/>
  <c r="F81" i="24"/>
  <c r="A317" i="8" s="1"/>
  <c r="I81" i="24"/>
  <c r="Z317" i="8" s="1"/>
  <c r="H81" i="24"/>
  <c r="C317" i="8" s="1"/>
  <c r="I79" i="24"/>
  <c r="Z315" i="8" s="1"/>
  <c r="H79" i="24"/>
  <c r="C315" i="8" s="1"/>
  <c r="G79" i="24"/>
  <c r="H315" i="8" s="1"/>
  <c r="J315" i="8" s="1"/>
  <c r="F79" i="24"/>
  <c r="A315" i="8" s="1"/>
  <c r="I68" i="24"/>
  <c r="Z304" i="8" s="1"/>
  <c r="H68" i="24"/>
  <c r="C304" i="8" s="1"/>
  <c r="G68" i="24"/>
  <c r="H304" i="8" s="1"/>
  <c r="J304" i="8" s="1"/>
  <c r="F68" i="24"/>
  <c r="A304" i="8" s="1"/>
  <c r="G71" i="24"/>
  <c r="H307" i="8" s="1"/>
  <c r="J307" i="8" s="1"/>
  <c r="F71" i="24"/>
  <c r="A307" i="8" s="1"/>
  <c r="I71" i="24"/>
  <c r="Z307" i="8" s="1"/>
  <c r="H71" i="24"/>
  <c r="C307" i="8" s="1"/>
  <c r="U74" i="24"/>
  <c r="H287" i="8" s="1"/>
  <c r="J287" i="8" s="1"/>
  <c r="V74" i="24"/>
  <c r="C287" i="8" s="1"/>
  <c r="T74" i="24"/>
  <c r="A287" i="8" s="1"/>
  <c r="W74" i="24"/>
  <c r="Z287" i="8" s="1"/>
  <c r="V79" i="24"/>
  <c r="C292" i="8" s="1"/>
  <c r="W79" i="24"/>
  <c r="Z292" i="8" s="1"/>
  <c r="U79" i="24"/>
  <c r="H292" i="8" s="1"/>
  <c r="J292" i="8" s="1"/>
  <c r="T79" i="24"/>
  <c r="A292" i="8" s="1"/>
  <c r="U77" i="24"/>
  <c r="H290" i="8" s="1"/>
  <c r="J290" i="8" s="1"/>
  <c r="W77" i="24"/>
  <c r="Z290" i="8" s="1"/>
  <c r="V77" i="24"/>
  <c r="C290" i="8" s="1"/>
  <c r="T77" i="24"/>
  <c r="A290" i="8" s="1"/>
  <c r="W81" i="24"/>
  <c r="Z294" i="8" s="1"/>
  <c r="V81" i="24"/>
  <c r="C294" i="8" s="1"/>
  <c r="T81" i="24"/>
  <c r="A294" i="8" s="1"/>
  <c r="U81" i="24"/>
  <c r="H294" i="8" s="1"/>
  <c r="J294" i="8" s="1"/>
  <c r="W72" i="24"/>
  <c r="Z285" i="8" s="1"/>
  <c r="V72" i="24"/>
  <c r="C285" i="8" s="1"/>
  <c r="T72" i="24"/>
  <c r="A285" i="8" s="1"/>
  <c r="U72" i="24"/>
  <c r="H285" i="8" s="1"/>
  <c r="J285" i="8" s="1"/>
  <c r="G76" i="24"/>
  <c r="H312" i="8" s="1"/>
  <c r="J312" i="8" s="1"/>
  <c r="H76" i="24"/>
  <c r="C312" i="8" s="1"/>
  <c r="I76" i="24"/>
  <c r="Z312" i="8" s="1"/>
  <c r="F76" i="24"/>
  <c r="A312" i="8" s="1"/>
  <c r="I83" i="24"/>
  <c r="Z319" i="8" s="1"/>
  <c r="H83" i="24"/>
  <c r="C319" i="8" s="1"/>
  <c r="G83" i="24"/>
  <c r="H319" i="8" s="1"/>
  <c r="J319" i="8" s="1"/>
  <c r="F83" i="24"/>
  <c r="A319" i="8" s="1"/>
  <c r="G72" i="24"/>
  <c r="H308" i="8" s="1"/>
  <c r="J308" i="8" s="1"/>
  <c r="I72" i="24"/>
  <c r="Z308" i="8" s="1"/>
  <c r="F72" i="24"/>
  <c r="A308" i="8" s="1"/>
  <c r="H72" i="24"/>
  <c r="C308" i="8" s="1"/>
  <c r="F77" i="24"/>
  <c r="A313" i="8" s="1"/>
  <c r="G77" i="24"/>
  <c r="H313" i="8" s="1"/>
  <c r="J313" i="8" s="1"/>
  <c r="H77" i="24"/>
  <c r="C313" i="8" s="1"/>
  <c r="I77" i="24"/>
  <c r="Z313" i="8" s="1"/>
  <c r="H73" i="24"/>
  <c r="C309" i="8" s="1"/>
  <c r="G73" i="24"/>
  <c r="H309" i="8" s="1"/>
  <c r="J309" i="8" s="1"/>
  <c r="I73" i="24"/>
  <c r="Z309" i="8" s="1"/>
  <c r="F73" i="24"/>
  <c r="A309" i="8" s="1"/>
  <c r="U70" i="24"/>
  <c r="H283" i="8" s="1"/>
  <c r="J283" i="8" s="1"/>
  <c r="V70" i="24"/>
  <c r="C283" i="8" s="1"/>
  <c r="W70" i="24"/>
  <c r="Z283" i="8" s="1"/>
  <c r="T70" i="24"/>
  <c r="A283" i="8" s="1"/>
  <c r="U86" i="24"/>
  <c r="H299" i="8" s="1"/>
  <c r="J299" i="8" s="1"/>
  <c r="T86" i="24"/>
  <c r="A299" i="8" s="1"/>
  <c r="W86" i="24"/>
  <c r="Z299" i="8" s="1"/>
  <c r="V86" i="24"/>
  <c r="C299" i="8" s="1"/>
  <c r="U82" i="24"/>
  <c r="H295" i="8" s="1"/>
  <c r="J295" i="8" s="1"/>
  <c r="W82" i="24"/>
  <c r="Z295" i="8" s="1"/>
  <c r="V82" i="24"/>
  <c r="C295" i="8" s="1"/>
  <c r="T82" i="24"/>
  <c r="A295" i="8" s="1"/>
  <c r="V75" i="24"/>
  <c r="C288" i="8" s="1"/>
  <c r="U75" i="24"/>
  <c r="H288" i="8" s="1"/>
  <c r="J288" i="8" s="1"/>
  <c r="W75" i="24"/>
  <c r="Z288" i="8" s="1"/>
  <c r="T75" i="24"/>
  <c r="A288" i="8" s="1"/>
  <c r="W71" i="24"/>
  <c r="Z284" i="8" s="1"/>
  <c r="V71" i="24"/>
  <c r="C284" i="8" s="1"/>
  <c r="U71" i="24"/>
  <c r="H284" i="8" s="1"/>
  <c r="J284" i="8" s="1"/>
  <c r="T71" i="24"/>
  <c r="A284" i="8" s="1"/>
  <c r="G86" i="24"/>
  <c r="I86" i="24"/>
  <c r="H86" i="24"/>
  <c r="F86" i="24"/>
  <c r="G69" i="24"/>
  <c r="H305" i="8" s="1"/>
  <c r="J305" i="8" s="1"/>
  <c r="H69" i="24"/>
  <c r="C305" i="8" s="1"/>
  <c r="I69" i="24"/>
  <c r="Z305" i="8" s="1"/>
  <c r="F69" i="24"/>
  <c r="A305" i="8" s="1"/>
  <c r="G82" i="24"/>
  <c r="H318" i="8" s="1"/>
  <c r="J318" i="8" s="1"/>
  <c r="H82" i="24"/>
  <c r="C318" i="8" s="1"/>
  <c r="I82" i="24"/>
  <c r="Z318" i="8" s="1"/>
  <c r="F82" i="24"/>
  <c r="A318" i="8" s="1"/>
  <c r="I67" i="24"/>
  <c r="Z303" i="8" s="1"/>
  <c r="G67" i="24"/>
  <c r="H303" i="8" s="1"/>
  <c r="J303" i="8" s="1"/>
  <c r="H67" i="24"/>
  <c r="C303" i="8" s="1"/>
  <c r="F67" i="24"/>
  <c r="A303" i="8" s="1"/>
  <c r="G74" i="24"/>
  <c r="H310" i="8" s="1"/>
  <c r="J310" i="8" s="1"/>
  <c r="H74" i="24"/>
  <c r="C310" i="8" s="1"/>
  <c r="I74" i="24"/>
  <c r="Z310" i="8" s="1"/>
  <c r="F74" i="24"/>
  <c r="A310" i="8" s="1"/>
  <c r="U83" i="24"/>
  <c r="H296" i="8" s="1"/>
  <c r="J296" i="8" s="1"/>
  <c r="V83" i="24"/>
  <c r="C296" i="8" s="1"/>
  <c r="W83" i="24"/>
  <c r="Z296" i="8" s="1"/>
  <c r="T83" i="24"/>
  <c r="A296" i="8" s="1"/>
  <c r="U68" i="24"/>
  <c r="H281" i="8" s="1"/>
  <c r="J281" i="8" s="1"/>
  <c r="W68" i="24"/>
  <c r="Z281" i="8" s="1"/>
  <c r="V68" i="24"/>
  <c r="C281" i="8" s="1"/>
  <c r="T68" i="24"/>
  <c r="A281" i="8" s="1"/>
  <c r="W76" i="24"/>
  <c r="Z289" i="8" s="1"/>
  <c r="U76" i="24"/>
  <c r="H289" i="8" s="1"/>
  <c r="J289" i="8" s="1"/>
  <c r="V76" i="24"/>
  <c r="C289" i="8" s="1"/>
  <c r="T76" i="24"/>
  <c r="A289" i="8" s="1"/>
  <c r="W85" i="24"/>
  <c r="Z298" i="8" s="1"/>
  <c r="T85" i="24"/>
  <c r="A298" i="8" s="1"/>
  <c r="U85" i="24"/>
  <c r="H298" i="8" s="1"/>
  <c r="J298" i="8" s="1"/>
  <c r="V85" i="24"/>
  <c r="C298" i="8" s="1"/>
  <c r="U67" i="24"/>
  <c r="H280" i="8" s="1"/>
  <c r="J280" i="8" s="1"/>
  <c r="W67" i="24"/>
  <c r="Z280" i="8" s="1"/>
  <c r="V67" i="24"/>
  <c r="C280" i="8" s="1"/>
  <c r="T67" i="24"/>
  <c r="A280" i="8" s="1"/>
  <c r="H80" i="24"/>
  <c r="C316" i="8" s="1"/>
  <c r="I80" i="24"/>
  <c r="Z316" i="8" s="1"/>
  <c r="G80" i="24"/>
  <c r="H316" i="8" s="1"/>
  <c r="J316" i="8" s="1"/>
  <c r="F80" i="24"/>
  <c r="A316" i="8" s="1"/>
  <c r="G70" i="24"/>
  <c r="H306" i="8" s="1"/>
  <c r="J306" i="8" s="1"/>
  <c r="F70" i="24"/>
  <c r="A306" i="8" s="1"/>
  <c r="I70" i="24"/>
  <c r="Z306" i="8" s="1"/>
  <c r="H70" i="24"/>
  <c r="C306" i="8" s="1"/>
  <c r="G75" i="24"/>
  <c r="H311" i="8" s="1"/>
  <c r="J311" i="8" s="1"/>
  <c r="I75" i="24"/>
  <c r="Z311" i="8" s="1"/>
  <c r="F75" i="24"/>
  <c r="A311" i="8" s="1"/>
  <c r="H75" i="24"/>
  <c r="C311" i="8" s="1"/>
  <c r="I78" i="24"/>
  <c r="Z314" i="8" s="1"/>
  <c r="G78" i="24"/>
  <c r="H314" i="8" s="1"/>
  <c r="J314" i="8" s="1"/>
  <c r="H78" i="24"/>
  <c r="C314" i="8" s="1"/>
  <c r="F78" i="24"/>
  <c r="A314" i="8" s="1"/>
  <c r="H84" i="24"/>
  <c r="C320" i="8" s="1"/>
  <c r="G84" i="24"/>
  <c r="H320" i="8" s="1"/>
  <c r="J320" i="8" s="1"/>
  <c r="I84" i="24"/>
  <c r="Z320" i="8" s="1"/>
  <c r="F84" i="24"/>
  <c r="A320" i="8" s="1"/>
  <c r="X29" i="8"/>
  <c r="V14" i="8"/>
  <c r="X41" i="8"/>
  <c r="X130" i="8"/>
  <c r="V130" i="8"/>
  <c r="X205" i="8"/>
  <c r="V205" i="8"/>
  <c r="X80" i="8"/>
  <c r="V80" i="8"/>
  <c r="V199" i="8"/>
  <c r="X199" i="8"/>
  <c r="V175" i="8"/>
  <c r="X175" i="8"/>
  <c r="X178" i="8"/>
  <c r="V178" i="8"/>
  <c r="V74" i="8"/>
  <c r="X74" i="8"/>
  <c r="X172" i="8"/>
  <c r="V172" i="8"/>
  <c r="V65" i="8"/>
  <c r="X65" i="8"/>
  <c r="X83" i="8"/>
  <c r="V83" i="8"/>
  <c r="X190" i="8"/>
  <c r="V190" i="8"/>
  <c r="V226" i="8"/>
  <c r="X226" i="8"/>
  <c r="X133" i="8"/>
  <c r="V133" i="8"/>
  <c r="V193" i="8"/>
  <c r="X193" i="8"/>
  <c r="X127" i="8"/>
  <c r="V127" i="8"/>
  <c r="X163" i="8"/>
  <c r="V163" i="8"/>
  <c r="V217" i="8"/>
  <c r="X217" i="8"/>
  <c r="X157" i="8"/>
  <c r="V157" i="8"/>
  <c r="X196" i="8"/>
  <c r="V196" i="8"/>
  <c r="X142" i="8"/>
  <c r="V142" i="8"/>
  <c r="X86" i="8"/>
  <c r="V86" i="8"/>
  <c r="X103" i="8"/>
  <c r="V103" i="8"/>
  <c r="V124" i="8"/>
  <c r="X124" i="8"/>
  <c r="X166" i="8"/>
  <c r="V166" i="8"/>
  <c r="V98" i="8"/>
  <c r="X98" i="8"/>
  <c r="V154" i="8"/>
  <c r="X154" i="8"/>
  <c r="V181" i="8"/>
  <c r="X181" i="8"/>
  <c r="X214" i="8"/>
  <c r="V214" i="8"/>
  <c r="V115" i="8"/>
  <c r="X115" i="8"/>
  <c r="X68" i="8"/>
  <c r="V68" i="8"/>
  <c r="X118" i="8"/>
  <c r="V118" i="8"/>
  <c r="V92" i="8"/>
  <c r="X92" i="8"/>
  <c r="V184" i="8"/>
  <c r="X184" i="8"/>
  <c r="X95" i="8"/>
  <c r="V95" i="8"/>
  <c r="V121" i="8"/>
  <c r="X121" i="8"/>
  <c r="V139" i="8"/>
  <c r="X139" i="8"/>
  <c r="V160" i="8"/>
  <c r="X160" i="8"/>
  <c r="V109" i="8"/>
  <c r="X109" i="8"/>
  <c r="V223" i="8"/>
  <c r="X223" i="8"/>
  <c r="X77" i="8"/>
  <c r="V77" i="8"/>
  <c r="V148" i="8"/>
  <c r="X148" i="8"/>
  <c r="V187" i="8"/>
  <c r="X187" i="8"/>
  <c r="X145" i="8"/>
  <c r="V145" i="8"/>
  <c r="X106" i="8"/>
  <c r="V106" i="8"/>
  <c r="V211" i="8"/>
  <c r="X211" i="8"/>
  <c r="X89" i="8"/>
  <c r="V89" i="8"/>
  <c r="V220" i="8"/>
  <c r="X220" i="8"/>
  <c r="V169" i="8"/>
  <c r="X169" i="8"/>
  <c r="V136" i="8"/>
  <c r="X136" i="8"/>
  <c r="V71" i="8"/>
  <c r="X71" i="8"/>
  <c r="X112" i="8"/>
  <c r="V112" i="8"/>
  <c r="V208" i="8"/>
  <c r="X208" i="8"/>
  <c r="W68" i="8"/>
  <c r="W190" i="8"/>
  <c r="U223" i="8"/>
  <c r="W71" i="8"/>
  <c r="W184" i="8"/>
  <c r="U98" i="8"/>
  <c r="W193" i="8"/>
  <c r="U142" i="8"/>
  <c r="W196" i="8"/>
  <c r="U220" i="8"/>
  <c r="U211" i="8"/>
  <c r="U145" i="8"/>
  <c r="U89" i="8"/>
  <c r="V23" i="8"/>
  <c r="U136" i="8"/>
  <c r="U205" i="8"/>
  <c r="U169" i="8"/>
  <c r="W169" i="8"/>
  <c r="W175" i="8"/>
  <c r="U175" i="8"/>
  <c r="U181" i="8"/>
  <c r="W83" i="8"/>
  <c r="W106" i="8"/>
  <c r="U118" i="8"/>
  <c r="W118" i="8"/>
  <c r="U95" i="8"/>
  <c r="W95" i="8"/>
  <c r="W80" i="8"/>
  <c r="U80" i="8"/>
  <c r="P12" i="8"/>
  <c r="W130" i="8"/>
  <c r="U130" i="8"/>
  <c r="W157" i="8"/>
  <c r="U157" i="8"/>
  <c r="W163" i="8"/>
  <c r="U163" i="8"/>
  <c r="U133" i="8"/>
  <c r="W133" i="8"/>
  <c r="U139" i="8"/>
  <c r="W139" i="8"/>
  <c r="W160" i="8"/>
  <c r="U160" i="8"/>
  <c r="U103" i="8"/>
  <c r="W103" i="8"/>
  <c r="W166" i="8"/>
  <c r="U121" i="8"/>
  <c r="W121" i="8"/>
  <c r="U208" i="8"/>
  <c r="W217" i="8"/>
  <c r="W187" i="8"/>
  <c r="U187" i="8"/>
  <c r="W115" i="8"/>
  <c r="U115" i="8"/>
  <c r="W65" i="8"/>
  <c r="U65" i="8"/>
  <c r="U86" i="8"/>
  <c r="W86" i="8"/>
  <c r="U77" i="8"/>
  <c r="W77" i="8"/>
  <c r="U214" i="8"/>
  <c r="W214" i="8"/>
  <c r="W127" i="8"/>
  <c r="U127" i="8"/>
  <c r="W226" i="8"/>
  <c r="U226" i="8"/>
  <c r="W199" i="8"/>
  <c r="U199" i="8"/>
  <c r="U172" i="8"/>
  <c r="W172" i="8"/>
  <c r="U148" i="8"/>
  <c r="W148" i="8"/>
  <c r="W109" i="8"/>
  <c r="U109" i="8"/>
  <c r="W178" i="8"/>
  <c r="U178" i="8"/>
  <c r="U154" i="8"/>
  <c r="W154" i="8"/>
  <c r="W112" i="8"/>
  <c r="U112" i="8"/>
  <c r="X35" i="8"/>
  <c r="V26" i="8"/>
  <c r="V60" i="8"/>
  <c r="X38" i="8"/>
  <c r="V126" i="8"/>
  <c r="X186" i="8"/>
  <c r="X174" i="8"/>
  <c r="X57" i="8"/>
  <c r="X47" i="8"/>
  <c r="V20" i="8"/>
  <c r="R12" i="8"/>
  <c r="X32" i="8"/>
  <c r="V17" i="8"/>
  <c r="X144" i="8"/>
  <c r="T12" i="8"/>
  <c r="X195" i="8"/>
  <c r="X82" i="8"/>
  <c r="X14" i="8"/>
  <c r="V11" i="8"/>
  <c r="X54" i="8"/>
  <c r="X183" i="8"/>
  <c r="V183" i="8"/>
  <c r="X171" i="8"/>
  <c r="V171" i="8"/>
  <c r="V44" i="8"/>
  <c r="V219" i="8"/>
  <c r="X219" i="8"/>
  <c r="V177" i="8"/>
  <c r="X177" i="8"/>
  <c r="X222" i="8"/>
  <c r="V222" i="8"/>
  <c r="X97" i="8"/>
  <c r="V97" i="8"/>
  <c r="V114" i="8"/>
  <c r="X114" i="8"/>
  <c r="X213" i="8"/>
  <c r="V108" i="8"/>
  <c r="X108" i="8"/>
  <c r="T14" i="8"/>
  <c r="AC4" i="9" s="1"/>
  <c r="F3" i="23" s="1"/>
  <c r="X135" i="8"/>
  <c r="V135" i="8"/>
  <c r="V180" i="8"/>
  <c r="X180" i="8"/>
  <c r="V79" i="8"/>
  <c r="X79" i="8"/>
  <c r="V189" i="8"/>
  <c r="X189" i="8"/>
  <c r="V153" i="8"/>
  <c r="X153" i="8"/>
  <c r="X168" i="8"/>
  <c r="V168" i="8"/>
  <c r="AK4" i="9"/>
  <c r="X207" i="8"/>
  <c r="V207" i="8"/>
  <c r="V120" i="8"/>
  <c r="X120" i="8"/>
  <c r="X67" i="8"/>
  <c r="V67" i="8"/>
  <c r="X216" i="8"/>
  <c r="V216" i="8"/>
  <c r="X156" i="8"/>
  <c r="V156" i="8"/>
  <c r="V132" i="8"/>
  <c r="X132" i="8"/>
  <c r="X88" i="8"/>
  <c r="V88" i="8"/>
  <c r="V102" i="8"/>
  <c r="X102" i="8"/>
  <c r="X64" i="8"/>
  <c r="V64" i="8"/>
  <c r="V165" i="8"/>
  <c r="X165" i="8"/>
  <c r="V105" i="8"/>
  <c r="X105" i="8"/>
  <c r="V210" i="8"/>
  <c r="X210" i="8"/>
  <c r="V73" i="8"/>
  <c r="X73" i="8"/>
  <c r="V225" i="8"/>
  <c r="X225" i="8"/>
  <c r="X204" i="8"/>
  <c r="V204" i="8"/>
  <c r="V159" i="8"/>
  <c r="X159" i="8"/>
  <c r="V147" i="8"/>
  <c r="X147" i="8"/>
  <c r="V50" i="8"/>
  <c r="V63" i="8"/>
  <c r="X85" i="8"/>
  <c r="V85" i="8"/>
  <c r="X129" i="8"/>
  <c r="V129" i="8"/>
  <c r="V123" i="8"/>
  <c r="X123" i="8"/>
  <c r="X141" i="8"/>
  <c r="V141" i="8"/>
  <c r="V91" i="8"/>
  <c r="X91" i="8"/>
  <c r="X70" i="8"/>
  <c r="V70" i="8"/>
  <c r="V198" i="8"/>
  <c r="X198" i="8"/>
  <c r="X111" i="8"/>
  <c r="V111" i="8"/>
  <c r="X192" i="8"/>
  <c r="V192" i="8"/>
  <c r="X117" i="8"/>
  <c r="V117" i="8"/>
  <c r="X76" i="8"/>
  <c r="V76" i="8"/>
  <c r="X94" i="8"/>
  <c r="V94" i="8"/>
  <c r="X162" i="8"/>
  <c r="V162" i="8"/>
  <c r="V138" i="8"/>
  <c r="X138" i="8"/>
  <c r="T164" i="8"/>
  <c r="AC52" i="9" s="1"/>
  <c r="F51" i="23" s="1"/>
  <c r="D163" i="8"/>
  <c r="T93" i="8"/>
  <c r="AC30" i="9" s="1"/>
  <c r="F29" i="23" s="1"/>
  <c r="D92" i="8"/>
  <c r="U162" i="8"/>
  <c r="W162" i="8"/>
  <c r="D115" i="8"/>
  <c r="T116" i="8"/>
  <c r="AC37" i="9" s="1"/>
  <c r="F36" i="23" s="1"/>
  <c r="T38" i="8"/>
  <c r="AC12" i="9" s="1"/>
  <c r="F11" i="23" s="1"/>
  <c r="D37" i="8"/>
  <c r="V38" i="8" s="1"/>
  <c r="D56" i="8"/>
  <c r="V57" i="8" s="1"/>
  <c r="T57" i="8"/>
  <c r="AC18" i="9" s="1"/>
  <c r="F17" i="23" s="1"/>
  <c r="W102" i="8"/>
  <c r="U102" i="8"/>
  <c r="D178" i="8"/>
  <c r="T179" i="8"/>
  <c r="AC57" i="9" s="1"/>
  <c r="F56" i="23" s="1"/>
  <c r="D19" i="8"/>
  <c r="X20" i="8" s="1"/>
  <c r="T20" i="8"/>
  <c r="AC6" i="9" s="1"/>
  <c r="F5" i="23" s="1"/>
  <c r="W216" i="8"/>
  <c r="U216" i="8"/>
  <c r="T110" i="8"/>
  <c r="AC35" i="9" s="1"/>
  <c r="F34" i="23" s="1"/>
  <c r="D109" i="8"/>
  <c r="W180" i="8"/>
  <c r="U180" i="8"/>
  <c r="W123" i="8"/>
  <c r="U123" i="8"/>
  <c r="W213" i="8"/>
  <c r="U213" i="8"/>
  <c r="W225" i="8"/>
  <c r="U225" i="8"/>
  <c r="T170" i="8"/>
  <c r="AC54" i="9" s="1"/>
  <c r="F53" i="23" s="1"/>
  <c r="D169" i="8"/>
  <c r="D31" i="8"/>
  <c r="V32" i="8" s="1"/>
  <c r="T32" i="8"/>
  <c r="AC10" i="9" s="1"/>
  <c r="F9" i="23" s="1"/>
  <c r="T176" i="8"/>
  <c r="AC56" i="9" s="1"/>
  <c r="F55" i="23" s="1"/>
  <c r="D175" i="8"/>
  <c r="D59" i="8"/>
  <c r="X60" i="8" s="1"/>
  <c r="T60" i="8"/>
  <c r="AC19" i="9" s="1"/>
  <c r="F18" i="23" s="1"/>
  <c r="U108" i="8"/>
  <c r="W108" i="8"/>
  <c r="D181" i="8"/>
  <c r="T182" i="8"/>
  <c r="AC58" i="9" s="1"/>
  <c r="F57" i="23" s="1"/>
  <c r="T119" i="8"/>
  <c r="AC38" i="9" s="1"/>
  <c r="F37" i="23" s="1"/>
  <c r="D118" i="8"/>
  <c r="U159" i="8"/>
  <c r="W159" i="8"/>
  <c r="D142" i="8"/>
  <c r="T143" i="8"/>
  <c r="AC46" i="9" s="1"/>
  <c r="F45" i="23" s="1"/>
  <c r="W168" i="8"/>
  <c r="U168" i="8"/>
  <c r="U195" i="8"/>
  <c r="P197" i="8" s="1"/>
  <c r="Z63" i="9" s="1"/>
  <c r="D62" i="23" s="1"/>
  <c r="W195" i="8"/>
  <c r="D166" i="8"/>
  <c r="T167" i="8"/>
  <c r="AC53" i="9" s="1"/>
  <c r="F52" i="23" s="1"/>
  <c r="T50" i="8"/>
  <c r="AC16" i="9" s="1"/>
  <c r="F15" i="23" s="1"/>
  <c r="D49" i="8"/>
  <c r="X50" i="8" s="1"/>
  <c r="D106" i="8"/>
  <c r="T107" i="8"/>
  <c r="AC34" i="9" s="1"/>
  <c r="F33" i="23" s="1"/>
  <c r="U67" i="8"/>
  <c r="W67" i="8"/>
  <c r="D77" i="8"/>
  <c r="T78" i="8"/>
  <c r="AC25" i="9" s="1"/>
  <c r="F24" i="23" s="1"/>
  <c r="D172" i="8"/>
  <c r="T173" i="8"/>
  <c r="AC55" i="9" s="1"/>
  <c r="F54" i="23" s="1"/>
  <c r="W85" i="8"/>
  <c r="U85" i="8"/>
  <c r="D190" i="8"/>
  <c r="T191" i="8"/>
  <c r="AC61" i="9" s="1"/>
  <c r="F60" i="23" s="1"/>
  <c r="D136" i="8"/>
  <c r="T137" i="8"/>
  <c r="AC44" i="9" s="1"/>
  <c r="F43" i="23" s="1"/>
  <c r="W189" i="8"/>
  <c r="U189" i="8"/>
  <c r="W135" i="8"/>
  <c r="U135" i="8"/>
  <c r="T227" i="8"/>
  <c r="AC72" i="9" s="1"/>
  <c r="F71" i="23" s="1"/>
  <c r="D226" i="8"/>
  <c r="D103" i="8"/>
  <c r="T104" i="8"/>
  <c r="AC33" i="9" s="1"/>
  <c r="F32" i="23" s="1"/>
  <c r="W76" i="8"/>
  <c r="U76" i="8"/>
  <c r="D184" i="8"/>
  <c r="T185" i="8"/>
  <c r="AC59" i="9" s="1"/>
  <c r="F58" i="23" s="1"/>
  <c r="D10" i="8"/>
  <c r="T11" i="8"/>
  <c r="AC3" i="9" s="1"/>
  <c r="F2" i="23" s="1"/>
  <c r="D133" i="8"/>
  <c r="T134" i="8"/>
  <c r="AC43" i="9" s="1"/>
  <c r="F42" i="23" s="1"/>
  <c r="T140" i="8"/>
  <c r="AC45" i="9" s="1"/>
  <c r="F44" i="23" s="1"/>
  <c r="D139" i="8"/>
  <c r="D22" i="8"/>
  <c r="X23" i="8" s="1"/>
  <c r="T23" i="8"/>
  <c r="AC7" i="9" s="1"/>
  <c r="F6" i="23" s="1"/>
  <c r="D154" i="8"/>
  <c r="T155" i="8"/>
  <c r="AC49" i="9" s="1"/>
  <c r="F48" i="23" s="1"/>
  <c r="D211" i="8"/>
  <c r="T212" i="8"/>
  <c r="AC67" i="9" s="1"/>
  <c r="F66" i="23" s="1"/>
  <c r="W105" i="8"/>
  <c r="U105" i="8"/>
  <c r="T87" i="8"/>
  <c r="AC28" i="9" s="1"/>
  <c r="F27" i="23" s="1"/>
  <c r="D86" i="8"/>
  <c r="T161" i="8"/>
  <c r="AC51" i="9" s="1"/>
  <c r="F50" i="23" s="1"/>
  <c r="D160" i="8"/>
  <c r="U198" i="8"/>
  <c r="W198" i="8"/>
  <c r="U144" i="8"/>
  <c r="W144" i="8"/>
  <c r="D40" i="8"/>
  <c r="V41" i="8" s="1"/>
  <c r="T41" i="8"/>
  <c r="AC13" i="9" s="1"/>
  <c r="F12" i="23" s="1"/>
  <c r="D80" i="8"/>
  <c r="T81" i="8"/>
  <c r="AC26" i="9" s="1"/>
  <c r="F25" i="23" s="1"/>
  <c r="W156" i="8"/>
  <c r="U156" i="8"/>
  <c r="W120" i="8"/>
  <c r="U120" i="8"/>
  <c r="W79" i="8"/>
  <c r="U79" i="8"/>
  <c r="T218" i="8"/>
  <c r="AC69" i="9" s="1"/>
  <c r="F68" i="23" s="1"/>
  <c r="D217" i="8"/>
  <c r="T197" i="8"/>
  <c r="AC63" i="9" s="1"/>
  <c r="F62" i="23" s="1"/>
  <c r="D196" i="8"/>
  <c r="W117" i="8"/>
  <c r="U117" i="8"/>
  <c r="U64" i="8"/>
  <c r="W64" i="8"/>
  <c r="U171" i="8"/>
  <c r="W171" i="8"/>
  <c r="W129" i="8"/>
  <c r="U129" i="8"/>
  <c r="U73" i="8"/>
  <c r="W73" i="8"/>
  <c r="D127" i="8"/>
  <c r="T128" i="8"/>
  <c r="AC41" i="9" s="1"/>
  <c r="F40" i="23" s="1"/>
  <c r="U70" i="8"/>
  <c r="W70" i="8"/>
  <c r="T224" i="8"/>
  <c r="AC71" i="9" s="1"/>
  <c r="F70" i="23" s="1"/>
  <c r="D223" i="8"/>
  <c r="W204" i="8"/>
  <c r="U204" i="8"/>
  <c r="W147" i="8"/>
  <c r="U147" i="8"/>
  <c r="D71" i="8"/>
  <c r="T72" i="8"/>
  <c r="AC23" i="9" s="1"/>
  <c r="F22" i="23" s="1"/>
  <c r="U114" i="8"/>
  <c r="W114" i="8"/>
  <c r="D193" i="8"/>
  <c r="T194" i="8"/>
  <c r="AC62" i="9" s="1"/>
  <c r="F61" i="23" s="1"/>
  <c r="W94" i="8"/>
  <c r="U94" i="8"/>
  <c r="T90" i="8"/>
  <c r="AC29" i="9" s="1"/>
  <c r="F28" i="23" s="1"/>
  <c r="D89" i="8"/>
  <c r="U91" i="8"/>
  <c r="W91" i="8"/>
  <c r="T69" i="8"/>
  <c r="AC22" i="9" s="1"/>
  <c r="F21" i="23" s="1"/>
  <c r="D68" i="8"/>
  <c r="D157" i="8"/>
  <c r="T158" i="8"/>
  <c r="AC50" i="9" s="1"/>
  <c r="F49" i="23" s="1"/>
  <c r="U141" i="8"/>
  <c r="W141" i="8"/>
  <c r="D121" i="8"/>
  <c r="T122" i="8"/>
  <c r="AC39" i="9" s="1"/>
  <c r="F38" i="23" s="1"/>
  <c r="W111" i="8"/>
  <c r="U111" i="8"/>
  <c r="U138" i="8"/>
  <c r="W138" i="8"/>
  <c r="D130" i="8"/>
  <c r="T131" i="8"/>
  <c r="AC42" i="9" s="1"/>
  <c r="F41" i="23" s="1"/>
  <c r="U132" i="8"/>
  <c r="W132" i="8"/>
  <c r="D98" i="8"/>
  <c r="T99" i="8"/>
  <c r="AC32" i="9" s="1"/>
  <c r="F31" i="23" s="1"/>
  <c r="W219" i="8"/>
  <c r="U219" i="8"/>
  <c r="U183" i="8"/>
  <c r="W183" i="8"/>
  <c r="W126" i="8"/>
  <c r="U126" i="8"/>
  <c r="D43" i="8"/>
  <c r="X44" i="8" s="1"/>
  <c r="T44" i="8"/>
  <c r="AC14" i="9" s="1"/>
  <c r="F13" i="23" s="1"/>
  <c r="D214" i="8"/>
  <c r="T215" i="8"/>
  <c r="AC68" i="9" s="1"/>
  <c r="F67" i="23" s="1"/>
  <c r="W207" i="8"/>
  <c r="U207" i="8"/>
  <c r="D124" i="8"/>
  <c r="T125" i="8"/>
  <c r="AC40" i="9" s="1"/>
  <c r="F39" i="23" s="1"/>
  <c r="D83" i="8"/>
  <c r="T84" i="8"/>
  <c r="AC27" i="9" s="1"/>
  <c r="F26" i="23" s="1"/>
  <c r="D145" i="8"/>
  <c r="T146" i="8"/>
  <c r="AC47" i="9" s="1"/>
  <c r="F46" i="23" s="1"/>
  <c r="U165" i="8"/>
  <c r="W165" i="8"/>
  <c r="W88" i="8"/>
  <c r="U88" i="8"/>
  <c r="D199" i="8"/>
  <c r="T200" i="8"/>
  <c r="AC64" i="9" s="1"/>
  <c r="F63" i="23" s="1"/>
  <c r="W82" i="8"/>
  <c r="U82" i="8"/>
  <c r="T206" i="8"/>
  <c r="AC65" i="9" s="1"/>
  <c r="F64" i="23" s="1"/>
  <c r="D205" i="8"/>
  <c r="D53" i="8"/>
  <c r="V54" i="8" s="1"/>
  <c r="T54" i="8"/>
  <c r="AC17" i="9" s="1"/>
  <c r="F16" i="23" s="1"/>
  <c r="W177" i="8"/>
  <c r="U177" i="8"/>
  <c r="U222" i="8"/>
  <c r="W222" i="8"/>
  <c r="W153" i="8"/>
  <c r="U153" i="8"/>
  <c r="T75" i="8"/>
  <c r="AC24" i="9" s="1"/>
  <c r="F23" i="23" s="1"/>
  <c r="D74" i="8"/>
  <c r="D16" i="8"/>
  <c r="X17" i="8" s="1"/>
  <c r="T17" i="8"/>
  <c r="AC5" i="9" s="1"/>
  <c r="F4" i="23" s="1"/>
  <c r="W186" i="8"/>
  <c r="U186" i="8"/>
  <c r="D148" i="8"/>
  <c r="T149" i="8"/>
  <c r="AC48" i="9" s="1"/>
  <c r="F47" i="23" s="1"/>
  <c r="T66" i="8"/>
  <c r="AC21" i="9" s="1"/>
  <c r="F20" i="23" s="1"/>
  <c r="D65" i="8"/>
  <c r="T188" i="8"/>
  <c r="AC60" i="9" s="1"/>
  <c r="F59" i="23" s="1"/>
  <c r="D187" i="8"/>
  <c r="D46" i="8"/>
  <c r="V47" i="8" s="1"/>
  <c r="T47" i="8"/>
  <c r="AC15" i="9" s="1"/>
  <c r="F14" i="23" s="1"/>
  <c r="W192" i="8"/>
  <c r="U192" i="8"/>
  <c r="U174" i="8"/>
  <c r="W174" i="8"/>
  <c r="D25" i="8"/>
  <c r="X26" i="8" s="1"/>
  <c r="T26" i="8"/>
  <c r="AC8" i="9" s="1"/>
  <c r="F7" i="23" s="1"/>
  <c r="D62" i="8"/>
  <c r="X63" i="8" s="1"/>
  <c r="T63" i="8"/>
  <c r="AC20" i="9" s="1"/>
  <c r="F19" i="23" s="1"/>
  <c r="D95" i="8"/>
  <c r="T96" i="8"/>
  <c r="AC31" i="9" s="1"/>
  <c r="F30" i="23" s="1"/>
  <c r="D112" i="8"/>
  <c r="T113" i="8"/>
  <c r="AC36" i="9" s="1"/>
  <c r="F35" i="23" s="1"/>
  <c r="U97" i="8"/>
  <c r="W97" i="8"/>
  <c r="D34" i="8"/>
  <c r="V35" i="8" s="1"/>
  <c r="T35" i="8"/>
  <c r="AC11" i="9" s="1"/>
  <c r="F10" i="23" s="1"/>
  <c r="D220" i="8"/>
  <c r="T221" i="8"/>
  <c r="AC70" i="9" s="1"/>
  <c r="F69" i="23" s="1"/>
  <c r="W210" i="8"/>
  <c r="U210" i="8"/>
  <c r="D28" i="8"/>
  <c r="V29" i="8" s="1"/>
  <c r="T29" i="8"/>
  <c r="AC9" i="9" s="1"/>
  <c r="F8" i="23" s="1"/>
  <c r="D208" i="8"/>
  <c r="T209" i="8"/>
  <c r="AC66" i="9" s="1"/>
  <c r="F65" i="23" s="1"/>
  <c r="P84" i="8" l="1"/>
  <c r="Z27" i="9" s="1"/>
  <c r="D26" i="23" s="1"/>
  <c r="P188" i="8"/>
  <c r="Z60" i="9" s="1"/>
  <c r="D59" i="23" s="1"/>
  <c r="P176" i="8"/>
  <c r="Z56" i="9" s="1"/>
  <c r="D55" i="23" s="1"/>
  <c r="R128" i="8"/>
  <c r="AB41" i="9" s="1"/>
  <c r="E40" i="23" s="1"/>
  <c r="P146" i="8"/>
  <c r="Z47" i="9" s="1"/>
  <c r="D46" i="23" s="1"/>
  <c r="X4" i="9"/>
  <c r="V59" i="8" s="1"/>
  <c r="P215" i="8"/>
  <c r="Z68" i="9" s="1"/>
  <c r="D67" i="23" s="1"/>
  <c r="P128" i="8"/>
  <c r="Z41" i="9" s="1"/>
  <c r="D40" i="23" s="1"/>
  <c r="R185" i="8"/>
  <c r="AB59" i="9" s="1"/>
  <c r="E58" i="23" s="1"/>
  <c r="P107" i="8"/>
  <c r="Z34" i="9" s="1"/>
  <c r="D33" i="23" s="1"/>
  <c r="R69" i="8"/>
  <c r="AB22" i="9" s="1"/>
  <c r="E21" i="23" s="1"/>
  <c r="P66" i="8"/>
  <c r="Z21" i="9" s="1"/>
  <c r="D20" i="23" s="1"/>
  <c r="R170" i="8"/>
  <c r="AB54" i="9" s="1"/>
  <c r="E53" i="23" s="1"/>
  <c r="R125" i="8"/>
  <c r="AB40" i="9" s="1"/>
  <c r="E39" i="23" s="1"/>
  <c r="R188" i="8"/>
  <c r="AB60" i="9" s="1"/>
  <c r="E59" i="23" s="1"/>
  <c r="R176" i="8"/>
  <c r="AB56" i="9" s="1"/>
  <c r="E55" i="23" s="1"/>
  <c r="P143" i="8"/>
  <c r="Z46" i="9" s="1"/>
  <c r="D45" i="23" s="1"/>
  <c r="P72" i="8"/>
  <c r="Z23" i="9" s="1"/>
  <c r="D22" i="23" s="1"/>
  <c r="P224" i="8"/>
  <c r="Z71" i="9" s="1"/>
  <c r="D70" i="23" s="1"/>
  <c r="R221" i="8"/>
  <c r="AB70" i="9" s="1"/>
  <c r="E69" i="23" s="1"/>
  <c r="P134" i="8"/>
  <c r="Z43" i="9" s="1"/>
  <c r="D42" i="23" s="1"/>
  <c r="R143" i="8"/>
  <c r="AB46" i="9" s="1"/>
  <c r="E45" i="23" s="1"/>
  <c r="R72" i="8"/>
  <c r="AB23" i="9" s="1"/>
  <c r="E22" i="23" s="1"/>
  <c r="R84" i="8"/>
  <c r="AB27" i="9" s="1"/>
  <c r="E26" i="23" s="1"/>
  <c r="R81" i="8"/>
  <c r="AB26" i="9" s="1"/>
  <c r="E25" i="23" s="1"/>
  <c r="R155" i="8"/>
  <c r="AB49" i="9" s="1"/>
  <c r="E48" i="23" s="1"/>
  <c r="R179" i="8"/>
  <c r="AB57" i="9" s="1"/>
  <c r="E56" i="23" s="1"/>
  <c r="P155" i="8"/>
  <c r="Z49" i="9" s="1"/>
  <c r="D48" i="23" s="1"/>
  <c r="P149" i="8"/>
  <c r="Z48" i="9" s="1"/>
  <c r="D47" i="23" s="1"/>
  <c r="R146" i="8"/>
  <c r="AB47" i="9" s="1"/>
  <c r="E46" i="23" s="1"/>
  <c r="R110" i="8"/>
  <c r="AB35" i="9" s="1"/>
  <c r="E34" i="23" s="1"/>
  <c r="P182" i="8"/>
  <c r="Z58" i="9" s="1"/>
  <c r="D57" i="23" s="1"/>
  <c r="P218" i="8"/>
  <c r="Z69" i="9" s="1"/>
  <c r="D68" i="23" s="1"/>
  <c r="R134" i="8"/>
  <c r="AB43" i="9" s="1"/>
  <c r="E42" i="23" s="1"/>
  <c r="P194" i="8"/>
  <c r="Z62" i="9" s="1"/>
  <c r="D61" i="23" s="1"/>
  <c r="R167" i="8"/>
  <c r="AB53" i="9" s="1"/>
  <c r="E52" i="23" s="1"/>
  <c r="P209" i="8"/>
  <c r="Z66" i="9" s="1"/>
  <c r="D65" i="23" s="1"/>
  <c r="R173" i="8"/>
  <c r="AB55" i="9" s="1"/>
  <c r="E54" i="23" s="1"/>
  <c r="R197" i="8"/>
  <c r="AB63" i="9" s="1"/>
  <c r="E62" i="23" s="1"/>
  <c r="P69" i="8"/>
  <c r="Z22" i="9" s="1"/>
  <c r="D21" i="23" s="1"/>
  <c r="R182" i="8"/>
  <c r="AB58" i="9" s="1"/>
  <c r="E57" i="23" s="1"/>
  <c r="R93" i="8"/>
  <c r="AB30" i="9" s="1"/>
  <c r="E29" i="23" s="1"/>
  <c r="R116" i="8"/>
  <c r="AB37" i="9" s="1"/>
  <c r="E36" i="23" s="1"/>
  <c r="P113" i="8"/>
  <c r="Z36" i="9" s="1"/>
  <c r="D35" i="23" s="1"/>
  <c r="P206" i="8"/>
  <c r="Z65" i="9" s="1"/>
  <c r="D64" i="23" s="1"/>
  <c r="P116" i="8"/>
  <c r="Z37" i="9" s="1"/>
  <c r="D36" i="23" s="1"/>
  <c r="P170" i="8"/>
  <c r="Z54" i="9" s="1"/>
  <c r="D53" i="23" s="1"/>
  <c r="P227" i="8"/>
  <c r="Z72" i="9" s="1"/>
  <c r="D71" i="23" s="1"/>
  <c r="P104" i="8"/>
  <c r="Z33" i="9" s="1"/>
  <c r="D32" i="23" s="1"/>
  <c r="R99" i="8"/>
  <c r="AB32" i="9" s="1"/>
  <c r="E31" i="23" s="1"/>
  <c r="P179" i="8"/>
  <c r="Z57" i="9" s="1"/>
  <c r="D56" i="23" s="1"/>
  <c r="P122" i="8"/>
  <c r="Z39" i="9" s="1"/>
  <c r="D38" i="23" s="1"/>
  <c r="P191" i="8"/>
  <c r="Z61" i="9" s="1"/>
  <c r="D60" i="23" s="1"/>
  <c r="P212" i="8"/>
  <c r="Z67" i="9" s="1"/>
  <c r="D66" i="23" s="1"/>
  <c r="R194" i="8"/>
  <c r="AB62" i="9" s="1"/>
  <c r="E61" i="23" s="1"/>
  <c r="P167" i="8"/>
  <c r="Z53" i="9" s="1"/>
  <c r="D52" i="23" s="1"/>
  <c r="P185" i="8"/>
  <c r="Z59" i="9" s="1"/>
  <c r="D58" i="23" s="1"/>
  <c r="R113" i="8"/>
  <c r="AB36" i="9" s="1"/>
  <c r="E35" i="23" s="1"/>
  <c r="R206" i="8"/>
  <c r="AB65" i="9" s="1"/>
  <c r="E64" i="23" s="1"/>
  <c r="P173" i="8"/>
  <c r="Z55" i="9" s="1"/>
  <c r="D54" i="23" s="1"/>
  <c r="R215" i="8"/>
  <c r="AB68" i="9" s="1"/>
  <c r="E67" i="23" s="1"/>
  <c r="R90" i="8"/>
  <c r="AB29" i="9" s="1"/>
  <c r="E28" i="23" s="1"/>
  <c r="P140" i="8"/>
  <c r="Z45" i="9" s="1"/>
  <c r="D44" i="23" s="1"/>
  <c r="P93" i="8"/>
  <c r="Z30" i="9" s="1"/>
  <c r="D29" i="23" s="1"/>
  <c r="R96" i="8"/>
  <c r="AB31" i="9" s="1"/>
  <c r="E30" i="23" s="1"/>
  <c r="R131" i="8"/>
  <c r="AB42" i="9" s="1"/>
  <c r="E41" i="23" s="1"/>
  <c r="R158" i="8"/>
  <c r="AB50" i="9" s="1"/>
  <c r="E49" i="23" s="1"/>
  <c r="P200" i="8"/>
  <c r="Z64" i="9" s="1"/>
  <c r="D63" i="23" s="1"/>
  <c r="R137" i="8"/>
  <c r="AB44" i="9" s="1"/>
  <c r="E43" i="23" s="1"/>
  <c r="R87" i="8"/>
  <c r="AB28" i="9" s="1"/>
  <c r="E27" i="23" s="1"/>
  <c r="P161" i="8"/>
  <c r="Z51" i="9" s="1"/>
  <c r="D50" i="23" s="1"/>
  <c r="R212" i="8"/>
  <c r="AB67" i="9" s="1"/>
  <c r="E66" i="23" s="1"/>
  <c r="P90" i="8"/>
  <c r="Z29" i="9" s="1"/>
  <c r="D28" i="23" s="1"/>
  <c r="R140" i="8"/>
  <c r="AB45" i="9" s="1"/>
  <c r="E44" i="23" s="1"/>
  <c r="P96" i="8"/>
  <c r="Z31" i="9" s="1"/>
  <c r="D30" i="23" s="1"/>
  <c r="P131" i="8"/>
  <c r="Z42" i="9" s="1"/>
  <c r="D41" i="23" s="1"/>
  <c r="P158" i="8"/>
  <c r="Z50" i="9" s="1"/>
  <c r="D49" i="23" s="1"/>
  <c r="P137" i="8"/>
  <c r="Z44" i="9" s="1"/>
  <c r="D43" i="23" s="1"/>
  <c r="R149" i="8"/>
  <c r="AB48" i="9" s="1"/>
  <c r="E47" i="23" s="1"/>
  <c r="R227" i="8"/>
  <c r="AB72" i="9" s="1"/>
  <c r="E71" i="23" s="1"/>
  <c r="R104" i="8"/>
  <c r="AB33" i="9" s="1"/>
  <c r="E32" i="23" s="1"/>
  <c r="R209" i="8"/>
  <c r="AB66" i="9" s="1"/>
  <c r="E65" i="23" s="1"/>
  <c r="P75" i="8"/>
  <c r="Z24" i="9" s="1"/>
  <c r="D23" i="23" s="1"/>
  <c r="R119" i="8"/>
  <c r="AB38" i="9" s="1"/>
  <c r="E37" i="23" s="1"/>
  <c r="R78" i="8"/>
  <c r="AB25" i="9" s="1"/>
  <c r="E24" i="23" s="1"/>
  <c r="R218" i="8"/>
  <c r="AB69" i="9" s="1"/>
  <c r="E68" i="23" s="1"/>
  <c r="R224" i="8"/>
  <c r="AB71" i="9" s="1"/>
  <c r="E70" i="23" s="1"/>
  <c r="P221" i="8"/>
  <c r="Z70" i="9" s="1"/>
  <c r="D69" i="23" s="1"/>
  <c r="R66" i="8"/>
  <c r="AB21" i="9" s="1"/>
  <c r="E20" i="23" s="1"/>
  <c r="P81" i="8"/>
  <c r="Z26" i="9" s="1"/>
  <c r="D25" i="23" s="1"/>
  <c r="P125" i="8"/>
  <c r="Z40" i="9" s="1"/>
  <c r="D39" i="23" s="1"/>
  <c r="R75" i="8"/>
  <c r="AB24" i="9" s="1"/>
  <c r="E23" i="23" s="1"/>
  <c r="P119" i="8"/>
  <c r="Z38" i="9" s="1"/>
  <c r="D37" i="23" s="1"/>
  <c r="P78" i="8"/>
  <c r="Z25" i="9" s="1"/>
  <c r="D24" i="23" s="1"/>
  <c r="P99" i="8"/>
  <c r="Z32" i="9" s="1"/>
  <c r="D31" i="23" s="1"/>
  <c r="R122" i="8"/>
  <c r="AB39" i="9" s="1"/>
  <c r="E38" i="23" s="1"/>
  <c r="R107" i="8"/>
  <c r="AB34" i="9" s="1"/>
  <c r="E33" i="23" s="1"/>
  <c r="R191" i="8"/>
  <c r="AB61" i="9" s="1"/>
  <c r="E60" i="23" s="1"/>
  <c r="P110" i="8"/>
  <c r="Z35" i="9" s="1"/>
  <c r="D34" i="23" s="1"/>
  <c r="R200" i="8"/>
  <c r="AB64" i="9" s="1"/>
  <c r="E63" i="23" s="1"/>
  <c r="P87" i="8"/>
  <c r="Z28" i="9" s="1"/>
  <c r="D27" i="23" s="1"/>
  <c r="R161" i="8"/>
  <c r="AB51" i="9" s="1"/>
  <c r="E50" i="23" s="1"/>
  <c r="R164" i="8"/>
  <c r="AB52" i="9" s="1"/>
  <c r="E51" i="23" s="1"/>
  <c r="P164" i="8"/>
  <c r="Z52" i="9" s="1"/>
  <c r="D51" i="23" s="1"/>
  <c r="P207" i="8"/>
  <c r="R207" i="8"/>
  <c r="AK66" i="9"/>
  <c r="T207" i="8"/>
  <c r="T33" i="8"/>
  <c r="AK11" i="9"/>
  <c r="R33" i="8"/>
  <c r="P33" i="8"/>
  <c r="R94" i="8"/>
  <c r="AK31" i="9"/>
  <c r="T94" i="8"/>
  <c r="P94" i="8"/>
  <c r="AK48" i="9"/>
  <c r="R147" i="8"/>
  <c r="P147" i="8"/>
  <c r="T147" i="8"/>
  <c r="AK5" i="9"/>
  <c r="R15" i="8"/>
  <c r="P15" i="8"/>
  <c r="T15" i="8"/>
  <c r="T52" i="8"/>
  <c r="AK17" i="9"/>
  <c r="R52" i="8"/>
  <c r="R198" i="8"/>
  <c r="T198" i="8"/>
  <c r="P198" i="8"/>
  <c r="AK64" i="9"/>
  <c r="R82" i="8"/>
  <c r="AK27" i="9"/>
  <c r="T82" i="8"/>
  <c r="P82" i="8"/>
  <c r="R213" i="8"/>
  <c r="AK68" i="9"/>
  <c r="T213" i="8"/>
  <c r="P213" i="8"/>
  <c r="P97" i="8"/>
  <c r="T97" i="8"/>
  <c r="R97" i="8"/>
  <c r="AK32" i="9"/>
  <c r="R129" i="8"/>
  <c r="P129" i="8"/>
  <c r="T129" i="8"/>
  <c r="AK42" i="9"/>
  <c r="T192" i="8"/>
  <c r="P192" i="8"/>
  <c r="AK62" i="9"/>
  <c r="R192" i="8"/>
  <c r="R70" i="8"/>
  <c r="AK23" i="9"/>
  <c r="T70" i="8"/>
  <c r="P70" i="8"/>
  <c r="R216" i="8"/>
  <c r="AK69" i="9"/>
  <c r="T216" i="8"/>
  <c r="P216" i="8"/>
  <c r="AK51" i="9"/>
  <c r="R159" i="8"/>
  <c r="P159" i="8"/>
  <c r="T159" i="8"/>
  <c r="R48" i="8"/>
  <c r="T48" i="8"/>
  <c r="P48" i="8"/>
  <c r="AK16" i="9"/>
  <c r="R117" i="8"/>
  <c r="AK38" i="9"/>
  <c r="T117" i="8"/>
  <c r="P117" i="8"/>
  <c r="R174" i="8"/>
  <c r="AK56" i="9"/>
  <c r="P174" i="8"/>
  <c r="T174" i="8"/>
  <c r="AK54" i="9"/>
  <c r="R168" i="8"/>
  <c r="P168" i="8"/>
  <c r="T168" i="8"/>
  <c r="AK30" i="9"/>
  <c r="R91" i="8"/>
  <c r="T91" i="8"/>
  <c r="P91" i="8"/>
  <c r="AK21" i="9"/>
  <c r="R64" i="8"/>
  <c r="T64" i="8"/>
  <c r="P64" i="8"/>
  <c r="AK24" i="9"/>
  <c r="P73" i="8"/>
  <c r="T73" i="8"/>
  <c r="R73" i="8"/>
  <c r="R204" i="8"/>
  <c r="T204" i="8"/>
  <c r="P204" i="8"/>
  <c r="R126" i="8"/>
  <c r="P126" i="8"/>
  <c r="T126" i="8"/>
  <c r="AK41" i="9"/>
  <c r="R79" i="8"/>
  <c r="T79" i="8"/>
  <c r="P79" i="8"/>
  <c r="AK26" i="9"/>
  <c r="P153" i="8"/>
  <c r="T153" i="8"/>
  <c r="R153" i="8"/>
  <c r="AK49" i="9"/>
  <c r="R21" i="8"/>
  <c r="T21" i="8"/>
  <c r="P21" i="8"/>
  <c r="AK7" i="9"/>
  <c r="R132" i="8"/>
  <c r="AK43" i="9"/>
  <c r="P132" i="8"/>
  <c r="T132" i="8"/>
  <c r="AK59" i="9"/>
  <c r="R183" i="8"/>
  <c r="P183" i="8"/>
  <c r="T183" i="8"/>
  <c r="R135" i="8"/>
  <c r="AK44" i="9"/>
  <c r="P135" i="8"/>
  <c r="T135" i="8"/>
  <c r="T171" i="8"/>
  <c r="AK55" i="9"/>
  <c r="R171" i="8"/>
  <c r="P171" i="8"/>
  <c r="AK46" i="9"/>
  <c r="R141" i="8"/>
  <c r="P141" i="8"/>
  <c r="T141" i="8"/>
  <c r="P177" i="8"/>
  <c r="T177" i="8"/>
  <c r="R177" i="8"/>
  <c r="AK57" i="9"/>
  <c r="AK18" i="9"/>
  <c r="P55" i="8"/>
  <c r="T55" i="8"/>
  <c r="R55" i="8"/>
  <c r="T114" i="8"/>
  <c r="P114" i="8"/>
  <c r="R114" i="8"/>
  <c r="AK37" i="9"/>
  <c r="T27" i="8"/>
  <c r="R27" i="8"/>
  <c r="AK9" i="9"/>
  <c r="P27" i="8"/>
  <c r="P219" i="8"/>
  <c r="R219" i="8"/>
  <c r="AK70" i="9"/>
  <c r="T219" i="8"/>
  <c r="T111" i="8"/>
  <c r="P111" i="8"/>
  <c r="AK36" i="9"/>
  <c r="R111" i="8"/>
  <c r="AK20" i="9"/>
  <c r="R61" i="8"/>
  <c r="T61" i="8"/>
  <c r="P61" i="8"/>
  <c r="P24" i="8"/>
  <c r="R24" i="8"/>
  <c r="AK8" i="9"/>
  <c r="T24" i="8"/>
  <c r="P45" i="8"/>
  <c r="AK15" i="9"/>
  <c r="T45" i="8"/>
  <c r="R45" i="8"/>
  <c r="T144" i="8"/>
  <c r="R144" i="8"/>
  <c r="AK47" i="9"/>
  <c r="P144" i="8"/>
  <c r="AK40" i="9"/>
  <c r="R123" i="8"/>
  <c r="T123" i="8"/>
  <c r="P123" i="8"/>
  <c r="T42" i="8"/>
  <c r="P42" i="8"/>
  <c r="R42" i="8"/>
  <c r="AK14" i="9"/>
  <c r="AK39" i="9"/>
  <c r="T120" i="8"/>
  <c r="P120" i="8"/>
  <c r="R120" i="8"/>
  <c r="AK50" i="9"/>
  <c r="R156" i="8"/>
  <c r="P156" i="8"/>
  <c r="T156" i="8"/>
  <c r="AK63" i="9"/>
  <c r="R195" i="8"/>
  <c r="T195" i="8"/>
  <c r="P195" i="8"/>
  <c r="AK28" i="9"/>
  <c r="R85" i="8"/>
  <c r="T85" i="8"/>
  <c r="P85" i="8"/>
  <c r="AK45" i="9"/>
  <c r="P138" i="8"/>
  <c r="T138" i="8"/>
  <c r="R138" i="8"/>
  <c r="AK72" i="9"/>
  <c r="T225" i="8"/>
  <c r="R225" i="8"/>
  <c r="P225" i="8"/>
  <c r="AK35" i="9"/>
  <c r="R108" i="8"/>
  <c r="T108" i="8"/>
  <c r="P108" i="8"/>
  <c r="AK12" i="9"/>
  <c r="R36" i="8"/>
  <c r="T36" i="8"/>
  <c r="P36" i="8"/>
  <c r="AK52" i="9"/>
  <c r="R162" i="8"/>
  <c r="P162" i="8"/>
  <c r="T162" i="8"/>
  <c r="AK60" i="9"/>
  <c r="R186" i="8"/>
  <c r="T186" i="8"/>
  <c r="P186" i="8"/>
  <c r="AK22" i="9"/>
  <c r="R67" i="8"/>
  <c r="T67" i="8"/>
  <c r="P67" i="8"/>
  <c r="AK29" i="9"/>
  <c r="R88" i="8"/>
  <c r="T88" i="8"/>
  <c r="P88" i="8"/>
  <c r="P222" i="8"/>
  <c r="R222" i="8"/>
  <c r="T222" i="8"/>
  <c r="AK71" i="9"/>
  <c r="P52" i="8"/>
  <c r="AK13" i="9"/>
  <c r="P39" i="8"/>
  <c r="R39" i="8"/>
  <c r="T39" i="8"/>
  <c r="R210" i="8"/>
  <c r="T210" i="8"/>
  <c r="AK67" i="9"/>
  <c r="P210" i="8"/>
  <c r="X11" i="8"/>
  <c r="R9" i="8"/>
  <c r="AK3" i="9"/>
  <c r="T9" i="8"/>
  <c r="P9" i="8"/>
  <c r="R102" i="8"/>
  <c r="T102" i="8"/>
  <c r="P102" i="8"/>
  <c r="AK33" i="9"/>
  <c r="P189" i="8"/>
  <c r="AK61" i="9"/>
  <c r="T189" i="8"/>
  <c r="R189" i="8"/>
  <c r="AK25" i="9"/>
  <c r="R76" i="8"/>
  <c r="T76" i="8"/>
  <c r="P76" i="8"/>
  <c r="AK34" i="9"/>
  <c r="R105" i="8"/>
  <c r="T105" i="8"/>
  <c r="P105" i="8"/>
  <c r="P165" i="8"/>
  <c r="T165" i="8"/>
  <c r="R165" i="8"/>
  <c r="AK53" i="9"/>
  <c r="AK58" i="9"/>
  <c r="P180" i="8"/>
  <c r="T180" i="8"/>
  <c r="R180" i="8"/>
  <c r="R58" i="8"/>
  <c r="P58" i="8"/>
  <c r="AK19" i="9"/>
  <c r="T58" i="8"/>
  <c r="AK10" i="9"/>
  <c r="T30" i="8"/>
  <c r="R30" i="8"/>
  <c r="P30" i="8"/>
  <c r="P18" i="8"/>
  <c r="T18" i="8"/>
  <c r="AK6" i="9"/>
  <c r="R18" i="8"/>
  <c r="C3" i="23" l="1"/>
  <c r="U31" i="8"/>
  <c r="AM4" i="9"/>
  <c r="U9" i="8"/>
  <c r="V21" i="8"/>
  <c r="X19" i="9"/>
  <c r="X58" i="9"/>
  <c r="A233" i="8"/>
  <c r="X29" i="9"/>
  <c r="X22" i="9"/>
  <c r="X60" i="9"/>
  <c r="X12" i="9"/>
  <c r="X35" i="9"/>
  <c r="X72" i="9"/>
  <c r="X28" i="9"/>
  <c r="X63" i="9"/>
  <c r="X40" i="9"/>
  <c r="X47" i="9"/>
  <c r="X20" i="9"/>
  <c r="X37" i="9"/>
  <c r="X41" i="9"/>
  <c r="X32" i="9"/>
  <c r="X31" i="9"/>
  <c r="X11" i="9"/>
  <c r="X6" i="9"/>
  <c r="V31" i="8" s="1"/>
  <c r="X53" i="9"/>
  <c r="X61" i="9"/>
  <c r="X13" i="9"/>
  <c r="X52" i="9"/>
  <c r="X50" i="9"/>
  <c r="X39" i="9"/>
  <c r="X70" i="9"/>
  <c r="X57" i="9"/>
  <c r="X49" i="9"/>
  <c r="X21" i="9"/>
  <c r="X30" i="9"/>
  <c r="X38" i="9"/>
  <c r="X69" i="9"/>
  <c r="X23" i="9"/>
  <c r="X68" i="9"/>
  <c r="X27" i="9"/>
  <c r="X5" i="9"/>
  <c r="X48" i="9"/>
  <c r="X10" i="9"/>
  <c r="X34" i="9"/>
  <c r="X25" i="9"/>
  <c r="X3" i="9"/>
  <c r="V46" i="8" s="1"/>
  <c r="X45" i="9"/>
  <c r="X14" i="9"/>
  <c r="X36" i="9"/>
  <c r="X9" i="9"/>
  <c r="X55" i="9"/>
  <c r="X65" i="9"/>
  <c r="X54" i="9"/>
  <c r="X56" i="9"/>
  <c r="X16" i="9"/>
  <c r="X51" i="9"/>
  <c r="X64" i="9"/>
  <c r="AL3" i="9"/>
  <c r="X33" i="9"/>
  <c r="X67" i="9"/>
  <c r="C66" i="23" s="1"/>
  <c r="X71" i="9"/>
  <c r="X15" i="9"/>
  <c r="X8" i="9"/>
  <c r="X18" i="9"/>
  <c r="X46" i="9"/>
  <c r="X44" i="9"/>
  <c r="X59" i="9"/>
  <c r="X43" i="9"/>
  <c r="X7" i="9"/>
  <c r="X26" i="9"/>
  <c r="X24" i="9"/>
  <c r="X62" i="9"/>
  <c r="X42" i="9"/>
  <c r="X17" i="9"/>
  <c r="X66" i="9"/>
  <c r="C65" i="23" s="1"/>
  <c r="U16" i="8" l="1"/>
  <c r="V53" i="8"/>
  <c r="U28" i="8"/>
  <c r="V34" i="8"/>
  <c r="U43" i="8"/>
  <c r="V25" i="8"/>
  <c r="U40" i="8"/>
  <c r="V62" i="8"/>
  <c r="U13" i="8"/>
  <c r="V19" i="8"/>
  <c r="U53" i="8"/>
  <c r="V43" i="8"/>
  <c r="U62" i="8"/>
  <c r="V28" i="8"/>
  <c r="U37" i="8"/>
  <c r="V16" i="8"/>
  <c r="U34" i="8"/>
  <c r="V22" i="8"/>
  <c r="U46" i="8"/>
  <c r="V13" i="8"/>
  <c r="U19" i="8"/>
  <c r="V56" i="8"/>
  <c r="U10" i="8"/>
  <c r="V49" i="8"/>
  <c r="U25" i="8"/>
  <c r="V37" i="8"/>
  <c r="U22" i="8"/>
  <c r="V40" i="8"/>
  <c r="U59" i="8"/>
  <c r="V10" i="8"/>
  <c r="V45" i="8"/>
  <c r="U49" i="8"/>
  <c r="V27" i="8"/>
  <c r="U56" i="8"/>
  <c r="U24" i="8"/>
  <c r="V18" i="8"/>
  <c r="U42" i="8"/>
  <c r="V15" i="8"/>
  <c r="U39" i="8"/>
  <c r="V55" i="8"/>
  <c r="Y55" i="8" s="1"/>
  <c r="U61" i="8"/>
  <c r="V58" i="8"/>
  <c r="U36" i="8"/>
  <c r="V30" i="8"/>
  <c r="U27" i="8"/>
  <c r="V12" i="8"/>
  <c r="U45" i="8"/>
  <c r="P47" i="8" s="1"/>
  <c r="Z15" i="9" s="1"/>
  <c r="V33" i="8"/>
  <c r="Y33" i="8" s="1"/>
  <c r="U18" i="8"/>
  <c r="V24" i="8"/>
  <c r="U48" i="8"/>
  <c r="V42" i="8"/>
  <c r="U55" i="8"/>
  <c r="V52" i="8"/>
  <c r="U21" i="8"/>
  <c r="V9" i="8"/>
  <c r="U30" i="8"/>
  <c r="V36" i="8"/>
  <c r="U58" i="8"/>
  <c r="V61" i="8"/>
  <c r="U52" i="8"/>
  <c r="V39" i="8"/>
  <c r="U15" i="8"/>
  <c r="V48" i="8"/>
  <c r="Y48" i="8" s="1"/>
  <c r="Y73" i="8"/>
  <c r="Y24" i="9" s="1"/>
  <c r="U33" i="8"/>
  <c r="Y102" i="8"/>
  <c r="Y103" i="8" s="1"/>
  <c r="Y129" i="8"/>
  <c r="Y42" i="9" s="1"/>
  <c r="Y141" i="8"/>
  <c r="Y46" i="9" s="1"/>
  <c r="Y180" i="8"/>
  <c r="Y181" i="8" s="1"/>
  <c r="Y132" i="8"/>
  <c r="Y133" i="8" s="1"/>
  <c r="Y183" i="8"/>
  <c r="Y184" i="8" s="1"/>
  <c r="Y171" i="8"/>
  <c r="Y55" i="9" s="1"/>
  <c r="Y207" i="8"/>
  <c r="C41" i="23"/>
  <c r="AM42" i="9"/>
  <c r="AN42" i="9"/>
  <c r="C23" i="23"/>
  <c r="AM24" i="9"/>
  <c r="AN24" i="9"/>
  <c r="AM7" i="9"/>
  <c r="C6" i="23"/>
  <c r="AN7" i="9"/>
  <c r="AM59" i="9"/>
  <c r="C58" i="23"/>
  <c r="AN59" i="9"/>
  <c r="AM46" i="9"/>
  <c r="C45" i="23"/>
  <c r="AN46" i="9"/>
  <c r="Y45" i="8"/>
  <c r="AM33" i="9"/>
  <c r="AN33" i="9"/>
  <c r="C32" i="23"/>
  <c r="Y159" i="8"/>
  <c r="Y174" i="8"/>
  <c r="Y204" i="8"/>
  <c r="Y105" i="8"/>
  <c r="Y147" i="8"/>
  <c r="Y82" i="8"/>
  <c r="Y70" i="8"/>
  <c r="Y117" i="8"/>
  <c r="Y64" i="8"/>
  <c r="Y177" i="8"/>
  <c r="Y120" i="8"/>
  <c r="Y162" i="8"/>
  <c r="Y189" i="8"/>
  <c r="Y94" i="8"/>
  <c r="Y126" i="8"/>
  <c r="C36" i="23"/>
  <c r="AN37" i="9"/>
  <c r="AM37" i="9"/>
  <c r="AN47" i="9"/>
  <c r="AM47" i="9"/>
  <c r="C46" i="23"/>
  <c r="AM63" i="9"/>
  <c r="C62" i="23"/>
  <c r="AN63" i="9"/>
  <c r="C71" i="23"/>
  <c r="AN72" i="9"/>
  <c r="AM72" i="9"/>
  <c r="AM12" i="9"/>
  <c r="C11" i="23"/>
  <c r="AN12" i="9"/>
  <c r="C21" i="23"/>
  <c r="AN22" i="9"/>
  <c r="AM22" i="9"/>
  <c r="Y192" i="8"/>
  <c r="Y79" i="8"/>
  <c r="Y135" i="8"/>
  <c r="C17" i="23"/>
  <c r="AM18" i="9"/>
  <c r="AN18" i="9"/>
  <c r="C14" i="23"/>
  <c r="AM15" i="9"/>
  <c r="AN15" i="9"/>
  <c r="Y210" i="8"/>
  <c r="AM51" i="9"/>
  <c r="C50" i="23"/>
  <c r="AN51" i="9"/>
  <c r="AM56" i="9"/>
  <c r="C55" i="23"/>
  <c r="AN56" i="9"/>
  <c r="AM67" i="9"/>
  <c r="C64" i="23"/>
  <c r="AN67" i="9"/>
  <c r="AM9" i="9"/>
  <c r="C8" i="23"/>
  <c r="AN9" i="9"/>
  <c r="C13" i="23"/>
  <c r="AM14" i="9"/>
  <c r="AN14" i="9"/>
  <c r="U12" i="8"/>
  <c r="AN3" i="9"/>
  <c r="AN65" i="9"/>
  <c r="AN4" i="9"/>
  <c r="C2" i="23"/>
  <c r="AN66" i="9"/>
  <c r="AM3" i="9"/>
  <c r="AM34" i="9"/>
  <c r="AN34" i="9"/>
  <c r="C33" i="23"/>
  <c r="AM48" i="9"/>
  <c r="C47" i="23"/>
  <c r="AN48" i="9"/>
  <c r="AM27" i="9"/>
  <c r="C26" i="23"/>
  <c r="AN27" i="9"/>
  <c r="C22" i="23"/>
  <c r="AM23" i="9"/>
  <c r="AN23" i="9"/>
  <c r="AM38" i="9"/>
  <c r="C37" i="23"/>
  <c r="AN38" i="9"/>
  <c r="C20" i="23"/>
  <c r="AN21" i="9"/>
  <c r="AM21" i="9"/>
  <c r="AM57" i="9"/>
  <c r="C56" i="23"/>
  <c r="AN57" i="9"/>
  <c r="AM39" i="9"/>
  <c r="AN39" i="9"/>
  <c r="C38" i="23"/>
  <c r="AM52" i="9"/>
  <c r="C51" i="23"/>
  <c r="AN52" i="9"/>
  <c r="C60" i="23"/>
  <c r="AM61" i="9"/>
  <c r="AN61" i="9"/>
  <c r="AM6" i="9"/>
  <c r="C5" i="23"/>
  <c r="AN6" i="9"/>
  <c r="AM31" i="9"/>
  <c r="AN31" i="9"/>
  <c r="C30" i="23"/>
  <c r="C40" i="23"/>
  <c r="AM41" i="9"/>
  <c r="AN41" i="9"/>
  <c r="Y123" i="8"/>
  <c r="Y85" i="8"/>
  <c r="Y108" i="8"/>
  <c r="Y186" i="8"/>
  <c r="Y88" i="8"/>
  <c r="AM58" i="9"/>
  <c r="C57" i="23"/>
  <c r="AN58" i="9"/>
  <c r="AM8" i="9"/>
  <c r="C7" i="23"/>
  <c r="AN8" i="9"/>
  <c r="AM71" i="9"/>
  <c r="C70" i="23"/>
  <c r="AN71" i="9"/>
  <c r="C16" i="23"/>
  <c r="AM17" i="9"/>
  <c r="AN17" i="9"/>
  <c r="AM62" i="9"/>
  <c r="AN62" i="9"/>
  <c r="C61" i="23"/>
  <c r="AN26" i="9"/>
  <c r="AM26" i="9"/>
  <c r="C25" i="23"/>
  <c r="C42" i="23"/>
  <c r="AM43" i="9"/>
  <c r="AN43" i="9"/>
  <c r="AM44" i="9"/>
  <c r="C43" i="23"/>
  <c r="AN44" i="9"/>
  <c r="Y222" i="8"/>
  <c r="Y198" i="8"/>
  <c r="Y168" i="8"/>
  <c r="Y111" i="8"/>
  <c r="Y138" i="8"/>
  <c r="Y76" i="8"/>
  <c r="Y213" i="8"/>
  <c r="Y216" i="8"/>
  <c r="Y91" i="8"/>
  <c r="Y153" i="8"/>
  <c r="Y219" i="8"/>
  <c r="Y156" i="8"/>
  <c r="Y165" i="8"/>
  <c r="Y97" i="8"/>
  <c r="AM20" i="9"/>
  <c r="C19" i="23"/>
  <c r="AN20" i="9"/>
  <c r="C39" i="23"/>
  <c r="AN40" i="9"/>
  <c r="AM40" i="9"/>
  <c r="C27" i="23"/>
  <c r="AM28" i="9"/>
  <c r="AN28" i="9"/>
  <c r="C34" i="23"/>
  <c r="AN35" i="9"/>
  <c r="AM35" i="9"/>
  <c r="C59" i="23"/>
  <c r="AN60" i="9"/>
  <c r="AM60" i="9"/>
  <c r="AM29" i="9"/>
  <c r="C28" i="23"/>
  <c r="AN29" i="9"/>
  <c r="AM19" i="9"/>
  <c r="C18" i="23"/>
  <c r="AN19" i="9"/>
  <c r="AM64" i="9"/>
  <c r="C63" i="23"/>
  <c r="AN64" i="9"/>
  <c r="C15" i="23"/>
  <c r="AM16" i="9"/>
  <c r="AN16" i="9"/>
  <c r="AM54" i="9"/>
  <c r="C53" i="23"/>
  <c r="AN54" i="9"/>
  <c r="C54" i="23"/>
  <c r="AM55" i="9"/>
  <c r="AN55" i="9"/>
  <c r="C35" i="23"/>
  <c r="AN36" i="9"/>
  <c r="AM36" i="9"/>
  <c r="AM45" i="9"/>
  <c r="C44" i="23"/>
  <c r="AN45" i="9"/>
  <c r="AM25" i="9"/>
  <c r="C24" i="23"/>
  <c r="AN25" i="9"/>
  <c r="C9" i="23"/>
  <c r="AM10" i="9"/>
  <c r="AN10" i="9"/>
  <c r="AM5" i="9"/>
  <c r="AN5" i="9"/>
  <c r="C4" i="23"/>
  <c r="C67" i="23"/>
  <c r="AN68" i="9"/>
  <c r="AM68" i="9"/>
  <c r="C68" i="23"/>
  <c r="AN69" i="9"/>
  <c r="AM69" i="9"/>
  <c r="AM30" i="9"/>
  <c r="C29" i="23"/>
  <c r="AN30" i="9"/>
  <c r="C48" i="23"/>
  <c r="AM49" i="9"/>
  <c r="AN49" i="9"/>
  <c r="C69" i="23"/>
  <c r="AM70" i="9"/>
  <c r="AN70" i="9"/>
  <c r="AM50" i="9"/>
  <c r="C49" i="23"/>
  <c r="AN50" i="9"/>
  <c r="AM13" i="9"/>
  <c r="C12" i="23"/>
  <c r="AN13" i="9"/>
  <c r="AM53" i="9"/>
  <c r="C52" i="23"/>
  <c r="AN53" i="9"/>
  <c r="C10" i="23"/>
  <c r="AM11" i="9"/>
  <c r="AN11" i="9"/>
  <c r="C31" i="23"/>
  <c r="AN32" i="9"/>
  <c r="AM32" i="9"/>
  <c r="Y114" i="8"/>
  <c r="Y144" i="8"/>
  <c r="Y195" i="8"/>
  <c r="Y225" i="8"/>
  <c r="Y67" i="8"/>
  <c r="Y39" i="8" l="1"/>
  <c r="Y40" i="8" s="1"/>
  <c r="Y42" i="8"/>
  <c r="Y15" i="8"/>
  <c r="Y16" i="8" s="1"/>
  <c r="P29" i="8"/>
  <c r="Z9" i="9" s="1"/>
  <c r="X9" i="8" s="1"/>
  <c r="Y52" i="8"/>
  <c r="Y53" i="8" s="1"/>
  <c r="P23" i="8"/>
  <c r="Z7" i="9" s="1"/>
  <c r="X12" i="8" s="1"/>
  <c r="P11" i="8"/>
  <c r="Z3" i="9" s="1"/>
  <c r="W56" i="8" s="1"/>
  <c r="W24" i="8"/>
  <c r="X10" i="8"/>
  <c r="Y27" i="8"/>
  <c r="Y28" i="8" s="1"/>
  <c r="Y61" i="8"/>
  <c r="Y20" i="9" s="1"/>
  <c r="Y9" i="8"/>
  <c r="Y10" i="8" s="1"/>
  <c r="X18" i="8"/>
  <c r="W59" i="8"/>
  <c r="D14" i="23"/>
  <c r="P41" i="8"/>
  <c r="Z13" i="9" s="1"/>
  <c r="P38" i="8"/>
  <c r="Z12" i="9" s="1"/>
  <c r="P26" i="8"/>
  <c r="Z8" i="9" s="1"/>
  <c r="Y21" i="8"/>
  <c r="Y7" i="9" s="1"/>
  <c r="Y30" i="8"/>
  <c r="P20" i="8"/>
  <c r="Z6" i="9" s="1"/>
  <c r="D5" i="23" s="1"/>
  <c r="Y36" i="8"/>
  <c r="Y37" i="8" s="1"/>
  <c r="Y24" i="8"/>
  <c r="Y8" i="9" s="1"/>
  <c r="Y58" i="8"/>
  <c r="Y19" i="9" s="1"/>
  <c r="Y18" i="8"/>
  <c r="Y19" i="8" s="1"/>
  <c r="Y12" i="8"/>
  <c r="Y4" i="9" s="1"/>
  <c r="P50" i="8"/>
  <c r="Z16" i="9" s="1"/>
  <c r="X56" i="8" s="1"/>
  <c r="P14" i="8"/>
  <c r="Z4" i="9" s="1"/>
  <c r="X59" i="8" s="1"/>
  <c r="P63" i="8"/>
  <c r="Z20" i="9" s="1"/>
  <c r="P44" i="8"/>
  <c r="Z14" i="9" s="1"/>
  <c r="X28" i="8" s="1"/>
  <c r="P35" i="8"/>
  <c r="Z11" i="9" s="1"/>
  <c r="X53" i="8" s="1"/>
  <c r="P17" i="8"/>
  <c r="Z5" i="9" s="1"/>
  <c r="X22" i="8" s="1"/>
  <c r="P60" i="8"/>
  <c r="Z19" i="9" s="1"/>
  <c r="X13" i="8" s="1"/>
  <c r="P32" i="8"/>
  <c r="Z10" i="9" s="1"/>
  <c r="X19" i="8" s="1"/>
  <c r="P57" i="8"/>
  <c r="Z18" i="9" s="1"/>
  <c r="W27" i="8"/>
  <c r="Y74" i="8"/>
  <c r="AA24" i="9" s="1"/>
  <c r="T24" i="9" s="1"/>
  <c r="D6" i="23"/>
  <c r="P54" i="8"/>
  <c r="Z17" i="9" s="1"/>
  <c r="Y58" i="9"/>
  <c r="Y33" i="9"/>
  <c r="Y59" i="9"/>
  <c r="Y130" i="8"/>
  <c r="AD42" i="9" s="1"/>
  <c r="G41" i="23" s="1"/>
  <c r="Y142" i="8"/>
  <c r="AA46" i="9" s="1"/>
  <c r="T46" i="9" s="1"/>
  <c r="Y172" i="8"/>
  <c r="AA55" i="9" s="1"/>
  <c r="T55" i="9" s="1"/>
  <c r="Y43" i="9"/>
  <c r="Y63" i="9"/>
  <c r="Y196" i="8"/>
  <c r="Y166" i="8"/>
  <c r="Y53" i="9"/>
  <c r="Y49" i="9"/>
  <c r="Y154" i="8"/>
  <c r="Y112" i="8"/>
  <c r="Y36" i="9"/>
  <c r="Y71" i="9"/>
  <c r="Y223" i="8"/>
  <c r="AA59" i="9"/>
  <c r="AD59" i="9"/>
  <c r="G58" i="23" s="1"/>
  <c r="Y35" i="9"/>
  <c r="Y109" i="8"/>
  <c r="AN2" i="9"/>
  <c r="Y57" i="9"/>
  <c r="Y178" i="8"/>
  <c r="Y27" i="9"/>
  <c r="Y83" i="8"/>
  <c r="Y14" i="9"/>
  <c r="Y43" i="8"/>
  <c r="Y160" i="8"/>
  <c r="Y51" i="9"/>
  <c r="AD58" i="9"/>
  <c r="G57" i="23" s="1"/>
  <c r="AA58" i="9"/>
  <c r="Y68" i="8"/>
  <c r="Y22" i="9"/>
  <c r="Y47" i="9"/>
  <c r="Y145" i="8"/>
  <c r="AD33" i="9"/>
  <c r="G32" i="23" s="1"/>
  <c r="AA33" i="9"/>
  <c r="Y56" i="8"/>
  <c r="Y18" i="9"/>
  <c r="Y30" i="9"/>
  <c r="Y92" i="8"/>
  <c r="Y54" i="9"/>
  <c r="Y169" i="8"/>
  <c r="Y86" i="8"/>
  <c r="Y28" i="9"/>
  <c r="Y44" i="9"/>
  <c r="Y136" i="8"/>
  <c r="Y190" i="8"/>
  <c r="Y61" i="9"/>
  <c r="Y21" i="9"/>
  <c r="Y65" i="8"/>
  <c r="Y148" i="8"/>
  <c r="Y48" i="9"/>
  <c r="Y15" i="9"/>
  <c r="Y46" i="8"/>
  <c r="Y208" i="8"/>
  <c r="Y66" i="9"/>
  <c r="Y115" i="8"/>
  <c r="Y37" i="9"/>
  <c r="Y98" i="8"/>
  <c r="Y32" i="9"/>
  <c r="Y157" i="8"/>
  <c r="Y50" i="9"/>
  <c r="Y217" i="8"/>
  <c r="Y69" i="9"/>
  <c r="Y25" i="9"/>
  <c r="Y77" i="8"/>
  <c r="Y16" i="9"/>
  <c r="Y29" i="9"/>
  <c r="Y89" i="8"/>
  <c r="Y124" i="8"/>
  <c r="Y40" i="9"/>
  <c r="Y211" i="8"/>
  <c r="Y67" i="9"/>
  <c r="Y80" i="8"/>
  <c r="Y26" i="9"/>
  <c r="Y41" i="9"/>
  <c r="Y127" i="8"/>
  <c r="Y52" i="9"/>
  <c r="Y163" i="8"/>
  <c r="Y118" i="8"/>
  <c r="Y38" i="9"/>
  <c r="Y34" i="9"/>
  <c r="Y106" i="8"/>
  <c r="Y65" i="9"/>
  <c r="Y205" i="8"/>
  <c r="Y226" i="8"/>
  <c r="Y72" i="9"/>
  <c r="Y34" i="8"/>
  <c r="Y11" i="9"/>
  <c r="Y70" i="9"/>
  <c r="Y220" i="8"/>
  <c r="Y214" i="8"/>
  <c r="Y68" i="9"/>
  <c r="Y139" i="8"/>
  <c r="Y45" i="9"/>
  <c r="Y199" i="8"/>
  <c r="Y64" i="9"/>
  <c r="Y187" i="8"/>
  <c r="Y60" i="9"/>
  <c r="AM2" i="9"/>
  <c r="AO2" i="9" s="1"/>
  <c r="Y193" i="8"/>
  <c r="Y62" i="9"/>
  <c r="Y31" i="9"/>
  <c r="Y95" i="8"/>
  <c r="Y39" i="9"/>
  <c r="Y121" i="8"/>
  <c r="Y71" i="8"/>
  <c r="Y23" i="9"/>
  <c r="Y175" i="8"/>
  <c r="Y56" i="9"/>
  <c r="AD43" i="9"/>
  <c r="G42" i="23" s="1"/>
  <c r="AA43" i="9"/>
  <c r="Y13" i="9" l="1"/>
  <c r="Y9" i="9"/>
  <c r="Y5" i="9"/>
  <c r="Y17" i="9"/>
  <c r="W28" i="8"/>
  <c r="X34" i="8"/>
  <c r="W40" i="8"/>
  <c r="X62" i="8"/>
  <c r="D19" i="23"/>
  <c r="X25" i="8"/>
  <c r="D2" i="23"/>
  <c r="W49" i="8"/>
  <c r="X31" i="8"/>
  <c r="W21" i="8"/>
  <c r="W53" i="8"/>
  <c r="X27" i="8"/>
  <c r="Y62" i="8"/>
  <c r="AA20" i="9" s="1"/>
  <c r="W12" i="8"/>
  <c r="X43" i="8"/>
  <c r="D8" i="23"/>
  <c r="X46" i="8"/>
  <c r="W37" i="8"/>
  <c r="X16" i="8"/>
  <c r="W10" i="8"/>
  <c r="X49" i="8"/>
  <c r="W22" i="8"/>
  <c r="X40" i="8"/>
  <c r="W25" i="8"/>
  <c r="X37" i="8"/>
  <c r="Y3" i="9"/>
  <c r="Y10" i="9"/>
  <c r="D12" i="23"/>
  <c r="W15" i="8"/>
  <c r="W33" i="8"/>
  <c r="D11" i="23"/>
  <c r="X61" i="8"/>
  <c r="X45" i="8"/>
  <c r="X58" i="8"/>
  <c r="W13" i="8"/>
  <c r="W58" i="8"/>
  <c r="X21" i="8"/>
  <c r="W31" i="8"/>
  <c r="X48" i="8"/>
  <c r="D18" i="23"/>
  <c r="W46" i="8"/>
  <c r="Y22" i="8"/>
  <c r="AD7" i="9" s="1"/>
  <c r="G6" i="23" s="1"/>
  <c r="Y25" i="8"/>
  <c r="AD8" i="9" s="1"/>
  <c r="G7" i="23" s="1"/>
  <c r="W45" i="8"/>
  <c r="X39" i="8"/>
  <c r="W19" i="8"/>
  <c r="X33" i="8"/>
  <c r="Y12" i="9"/>
  <c r="D7" i="23"/>
  <c r="Y59" i="8"/>
  <c r="AA19" i="9" s="1"/>
  <c r="X36" i="8"/>
  <c r="W43" i="8"/>
  <c r="W55" i="8"/>
  <c r="W62" i="8"/>
  <c r="X24" i="8"/>
  <c r="W16" i="8"/>
  <c r="D4" i="23"/>
  <c r="W34" i="8"/>
  <c r="W52" i="8"/>
  <c r="D15" i="23"/>
  <c r="Y6" i="9"/>
  <c r="W9" i="8"/>
  <c r="D3" i="23"/>
  <c r="Y13" i="8"/>
  <c r="AD4" i="9" s="1"/>
  <c r="G3" i="23" s="1"/>
  <c r="W30" i="8"/>
  <c r="Y31" i="8" s="1"/>
  <c r="AA42" i="9"/>
  <c r="T42" i="9" s="1"/>
  <c r="X52" i="8"/>
  <c r="W61" i="8"/>
  <c r="W18" i="8"/>
  <c r="D13" i="23"/>
  <c r="D10" i="23"/>
  <c r="AD46" i="9"/>
  <c r="G45" i="23" s="1"/>
  <c r="W39" i="8"/>
  <c r="D9" i="23"/>
  <c r="X55" i="8"/>
  <c r="W36" i="8"/>
  <c r="X30" i="8"/>
  <c r="W42" i="8"/>
  <c r="X15" i="8"/>
  <c r="D17" i="23"/>
  <c r="AD24" i="9"/>
  <c r="G23" i="23" s="1"/>
  <c r="T58" i="9"/>
  <c r="W48" i="8"/>
  <c r="X42" i="8"/>
  <c r="D16" i="23"/>
  <c r="T33" i="9"/>
  <c r="T43" i="9"/>
  <c r="T59" i="9"/>
  <c r="AD55" i="9"/>
  <c r="G54" i="23" s="1"/>
  <c r="AA3" i="9"/>
  <c r="AD3" i="9"/>
  <c r="G2" i="23" s="1"/>
  <c r="AA39" i="9"/>
  <c r="T39" i="9" s="1"/>
  <c r="AD39" i="9"/>
  <c r="G38" i="23" s="1"/>
  <c r="AD64" i="9"/>
  <c r="G63" i="23" s="1"/>
  <c r="AA64" i="9"/>
  <c r="T64" i="9" s="1"/>
  <c r="AA68" i="9"/>
  <c r="T68" i="9" s="1"/>
  <c r="AD68" i="9"/>
  <c r="G67" i="23" s="1"/>
  <c r="AD11" i="9"/>
  <c r="G10" i="23" s="1"/>
  <c r="AA11" i="9"/>
  <c r="AA67" i="9"/>
  <c r="T67" i="9" s="1"/>
  <c r="AD67" i="9"/>
  <c r="G66" i="23" s="1"/>
  <c r="AD40" i="9"/>
  <c r="G39" i="23" s="1"/>
  <c r="AA40" i="9"/>
  <c r="T40" i="9" s="1"/>
  <c r="AA69" i="9"/>
  <c r="T69" i="9" s="1"/>
  <c r="AD69" i="9"/>
  <c r="G68" i="23" s="1"/>
  <c r="AD32" i="9"/>
  <c r="G31" i="23" s="1"/>
  <c r="AA32" i="9"/>
  <c r="T32" i="9" s="1"/>
  <c r="AD37" i="9"/>
  <c r="G36" i="23" s="1"/>
  <c r="AA37" i="9"/>
  <c r="T37" i="9" s="1"/>
  <c r="AA66" i="9"/>
  <c r="T66" i="9" s="1"/>
  <c r="AD66" i="9"/>
  <c r="G65" i="23" s="1"/>
  <c r="AA18" i="9"/>
  <c r="AD18" i="9"/>
  <c r="G17" i="23" s="1"/>
  <c r="AD51" i="9"/>
  <c r="G50" i="23" s="1"/>
  <c r="AA51" i="9"/>
  <c r="T51" i="9" s="1"/>
  <c r="AA6" i="9"/>
  <c r="AD6" i="9"/>
  <c r="G5" i="23" s="1"/>
  <c r="AD49" i="9"/>
  <c r="G48" i="23" s="1"/>
  <c r="AA49" i="9"/>
  <c r="T49" i="9" s="1"/>
  <c r="AA63" i="9"/>
  <c r="T63" i="9" s="1"/>
  <c r="AD63" i="9"/>
  <c r="G62" i="23" s="1"/>
  <c r="AA62" i="9"/>
  <c r="T62" i="9" s="1"/>
  <c r="AD62" i="9"/>
  <c r="G61" i="23" s="1"/>
  <c r="AD70" i="9"/>
  <c r="G69" i="23" s="1"/>
  <c r="AA70" i="9"/>
  <c r="T70" i="9" s="1"/>
  <c r="AD65" i="9"/>
  <c r="G64" i="23" s="1"/>
  <c r="AA65" i="9"/>
  <c r="T65" i="9" s="1"/>
  <c r="AD41" i="9"/>
  <c r="G40" i="23" s="1"/>
  <c r="AA41" i="9"/>
  <c r="T41" i="9" s="1"/>
  <c r="AA29" i="9"/>
  <c r="T29" i="9" s="1"/>
  <c r="AD29" i="9"/>
  <c r="G28" i="23" s="1"/>
  <c r="AD25" i="9"/>
  <c r="G24" i="23" s="1"/>
  <c r="AA25" i="9"/>
  <c r="T25" i="9" s="1"/>
  <c r="AD12" i="9"/>
  <c r="G11" i="23" s="1"/>
  <c r="AA12" i="9"/>
  <c r="AA15" i="9"/>
  <c r="AD15" i="9"/>
  <c r="G14" i="23" s="1"/>
  <c r="AA44" i="9"/>
  <c r="T44" i="9" s="1"/>
  <c r="AD44" i="9"/>
  <c r="G43" i="23" s="1"/>
  <c r="AD17" i="9"/>
  <c r="G16" i="23" s="1"/>
  <c r="AA17" i="9"/>
  <c r="AA14" i="9"/>
  <c r="AD14" i="9"/>
  <c r="G13" i="23" s="1"/>
  <c r="AD57" i="9"/>
  <c r="G56" i="23" s="1"/>
  <c r="AA57" i="9"/>
  <c r="T57" i="9" s="1"/>
  <c r="AD36" i="9"/>
  <c r="G35" i="23" s="1"/>
  <c r="AA36" i="9"/>
  <c r="T36" i="9" s="1"/>
  <c r="AD31" i="9"/>
  <c r="G30" i="23" s="1"/>
  <c r="AA31" i="9"/>
  <c r="T31" i="9" s="1"/>
  <c r="Z260" i="8"/>
  <c r="Z259" i="8"/>
  <c r="Z261" i="8"/>
  <c r="Z267" i="8"/>
  <c r="A265" i="8"/>
  <c r="A266" i="8"/>
  <c r="A267" i="8"/>
  <c r="Z263" i="8"/>
  <c r="Z262" i="8"/>
  <c r="Z265" i="8"/>
  <c r="Z264" i="8"/>
  <c r="Z266" i="8"/>
  <c r="A264" i="8"/>
  <c r="AA60" i="9"/>
  <c r="T60" i="9" s="1"/>
  <c r="AD60" i="9"/>
  <c r="G59" i="23" s="1"/>
  <c r="AA45" i="9"/>
  <c r="T45" i="9" s="1"/>
  <c r="AD45" i="9"/>
  <c r="G44" i="23" s="1"/>
  <c r="AD72" i="9"/>
  <c r="G71" i="23" s="1"/>
  <c r="AA72" i="9"/>
  <c r="T72" i="9" s="1"/>
  <c r="AA38" i="9"/>
  <c r="T38" i="9" s="1"/>
  <c r="AD38" i="9"/>
  <c r="G37" i="23" s="1"/>
  <c r="AA26" i="9"/>
  <c r="T26" i="9" s="1"/>
  <c r="AD26" i="9"/>
  <c r="G25" i="23" s="1"/>
  <c r="AD50" i="9"/>
  <c r="G49" i="23" s="1"/>
  <c r="AA50" i="9"/>
  <c r="T50" i="9" s="1"/>
  <c r="AD48" i="9"/>
  <c r="G47" i="23" s="1"/>
  <c r="AA48" i="9"/>
  <c r="T48" i="9" s="1"/>
  <c r="AD61" i="9"/>
  <c r="G60" i="23" s="1"/>
  <c r="AA61" i="9"/>
  <c r="T61" i="9" s="1"/>
  <c r="AD28" i="9"/>
  <c r="G27" i="23" s="1"/>
  <c r="AA28" i="9"/>
  <c r="T28" i="9" s="1"/>
  <c r="AD13" i="9"/>
  <c r="G12" i="23" s="1"/>
  <c r="AA13" i="9"/>
  <c r="AA22" i="9"/>
  <c r="T22" i="9" s="1"/>
  <c r="AD22" i="9"/>
  <c r="G21" i="23" s="1"/>
  <c r="AD35" i="9"/>
  <c r="G34" i="23" s="1"/>
  <c r="AA35" i="9"/>
  <c r="T35" i="9" s="1"/>
  <c r="AA71" i="9"/>
  <c r="T71" i="9" s="1"/>
  <c r="AD71" i="9"/>
  <c r="G70" i="23" s="1"/>
  <c r="AD56" i="9"/>
  <c r="G55" i="23" s="1"/>
  <c r="AA56" i="9"/>
  <c r="T56" i="9" s="1"/>
  <c r="AD23" i="9"/>
  <c r="G22" i="23" s="1"/>
  <c r="AA23" i="9"/>
  <c r="T23" i="9" s="1"/>
  <c r="AD34" i="9"/>
  <c r="G33" i="23" s="1"/>
  <c r="AA34" i="9"/>
  <c r="T34" i="9" s="1"/>
  <c r="AD52" i="9"/>
  <c r="G51" i="23" s="1"/>
  <c r="AA52" i="9"/>
  <c r="T52" i="9" s="1"/>
  <c r="AA9" i="9"/>
  <c r="AD9" i="9"/>
  <c r="G8" i="23" s="1"/>
  <c r="AD21" i="9"/>
  <c r="G20" i="23" s="1"/>
  <c r="AA21" i="9"/>
  <c r="T21" i="9" s="1"/>
  <c r="AD54" i="9"/>
  <c r="G53" i="23" s="1"/>
  <c r="AA54" i="9"/>
  <c r="T54" i="9" s="1"/>
  <c r="AD30" i="9"/>
  <c r="G29" i="23" s="1"/>
  <c r="AA30" i="9"/>
  <c r="T30" i="9" s="1"/>
  <c r="AA47" i="9"/>
  <c r="T47" i="9" s="1"/>
  <c r="AD47" i="9"/>
  <c r="G46" i="23" s="1"/>
  <c r="AD27" i="9"/>
  <c r="G26" i="23" s="1"/>
  <c r="AA27" i="9"/>
  <c r="T27" i="9" s="1"/>
  <c r="AD5" i="9"/>
  <c r="G4" i="23" s="1"/>
  <c r="AA5" i="9"/>
  <c r="AD53" i="9"/>
  <c r="G52" i="23" s="1"/>
  <c r="AA53" i="9"/>
  <c r="T53" i="9" s="1"/>
  <c r="Y49" i="8" l="1"/>
  <c r="AA16" i="9" s="1"/>
  <c r="R29" i="8"/>
  <c r="AB9" i="9" s="1"/>
  <c r="E8" i="23" s="1"/>
  <c r="AD20" i="9"/>
  <c r="G19" i="23" s="1"/>
  <c r="R14" i="8"/>
  <c r="AB4" i="9" s="1"/>
  <c r="E3" i="23" s="1"/>
  <c r="R23" i="8"/>
  <c r="AB7" i="9" s="1"/>
  <c r="E6" i="23" s="1"/>
  <c r="R26" i="8"/>
  <c r="AB8" i="9" s="1"/>
  <c r="E7" i="23" s="1"/>
  <c r="AA8" i="9"/>
  <c r="R11" i="8"/>
  <c r="AB3" i="9" s="1"/>
  <c r="E2" i="23" s="1"/>
  <c r="AA10" i="9"/>
  <c r="AD10" i="9"/>
  <c r="G9" i="23" s="1"/>
  <c r="R50" i="8"/>
  <c r="AB16" i="9" s="1"/>
  <c r="E15" i="23" s="1"/>
  <c r="R60" i="8"/>
  <c r="AB19" i="9" s="1"/>
  <c r="E18" i="23" s="1"/>
  <c r="R63" i="8"/>
  <c r="AB20" i="9" s="1"/>
  <c r="E19" i="23" s="1"/>
  <c r="R47" i="8"/>
  <c r="AB15" i="9" s="1"/>
  <c r="E14" i="23" s="1"/>
  <c r="AA7" i="9"/>
  <c r="R35" i="8"/>
  <c r="AB11" i="9" s="1"/>
  <c r="E10" i="23" s="1"/>
  <c r="AD19" i="9"/>
  <c r="G18" i="23" s="1"/>
  <c r="R41" i="8"/>
  <c r="AB13" i="9" s="1"/>
  <c r="E12" i="23" s="1"/>
  <c r="R20" i="8"/>
  <c r="AB6" i="9" s="1"/>
  <c r="E5" i="23" s="1"/>
  <c r="R17" i="8"/>
  <c r="AB5" i="9" s="1"/>
  <c r="E4" i="23" s="1"/>
  <c r="R38" i="8"/>
  <c r="AB12" i="9" s="1"/>
  <c r="E11" i="23" s="1"/>
  <c r="R54" i="8"/>
  <c r="AB17" i="9" s="1"/>
  <c r="E16" i="23" s="1"/>
  <c r="R57" i="8"/>
  <c r="AB18" i="9" s="1"/>
  <c r="E17" i="23" s="1"/>
  <c r="AA4" i="9"/>
  <c r="T4" i="9" s="1"/>
  <c r="R32" i="8"/>
  <c r="AB10" i="9" s="1"/>
  <c r="E9" i="23" s="1"/>
  <c r="T9" i="9"/>
  <c r="R44" i="8"/>
  <c r="AB14" i="9" s="1"/>
  <c r="E13" i="23" s="1"/>
  <c r="AD16" i="9" l="1"/>
  <c r="G15" i="23" s="1"/>
  <c r="T19" i="9"/>
  <c r="T3" i="9"/>
  <c r="T7" i="9"/>
  <c r="T8" i="9"/>
  <c r="T12" i="9"/>
  <c r="T5" i="9"/>
  <c r="T18" i="9"/>
  <c r="T16" i="9"/>
  <c r="T20" i="9"/>
  <c r="T15" i="9"/>
  <c r="T6" i="9"/>
  <c r="T11" i="9"/>
  <c r="T13" i="9"/>
  <c r="T17" i="9"/>
  <c r="T10" i="9"/>
  <c r="T14" i="9"/>
  <c r="AG11" i="9" l="1"/>
  <c r="AH11" i="9" s="1"/>
  <c r="H252" i="8" s="1"/>
  <c r="AG44" i="9"/>
  <c r="AH44" i="9" s="1"/>
  <c r="AG56" i="9"/>
  <c r="AH56" i="9" s="1"/>
  <c r="AG42" i="9"/>
  <c r="AH42" i="9" s="1"/>
  <c r="AG17" i="9"/>
  <c r="AH17" i="9" s="1"/>
  <c r="A258" i="8" s="1"/>
  <c r="N258" i="8" s="1"/>
  <c r="AG21" i="9"/>
  <c r="AH21" i="9" s="1"/>
  <c r="AG63" i="9"/>
  <c r="AH63" i="9" s="1"/>
  <c r="AG35" i="9"/>
  <c r="AH35" i="9" s="1"/>
  <c r="AG65" i="9"/>
  <c r="AH65" i="9" s="1"/>
  <c r="AG27" i="9"/>
  <c r="AH27" i="9" s="1"/>
  <c r="AG4" i="9"/>
  <c r="AH4" i="9" s="1"/>
  <c r="A245" i="8" s="1"/>
  <c r="N245" i="8" s="1"/>
  <c r="AG40" i="9"/>
  <c r="AH40" i="9" s="1"/>
  <c r="AG38" i="9"/>
  <c r="AH38" i="9" s="1"/>
  <c r="AG9" i="9"/>
  <c r="AH9" i="9" s="1"/>
  <c r="AG6" i="9"/>
  <c r="AH6" i="9" s="1"/>
  <c r="A247" i="8" s="1"/>
  <c r="N247" i="8" s="1"/>
  <c r="AG50" i="9"/>
  <c r="AH50" i="9" s="1"/>
  <c r="AG36" i="9"/>
  <c r="AH36" i="9" s="1"/>
  <c r="AG12" i="9"/>
  <c r="AH12" i="9" s="1"/>
  <c r="A253" i="8" s="1"/>
  <c r="N253" i="8" s="1"/>
  <c r="AG66" i="9"/>
  <c r="AH66" i="9" s="1"/>
  <c r="AG19" i="9"/>
  <c r="AH19" i="9" s="1"/>
  <c r="AG55" i="9"/>
  <c r="AH55" i="9" s="1"/>
  <c r="AG18" i="9"/>
  <c r="AH18" i="9" s="1"/>
  <c r="AG70" i="9"/>
  <c r="AH70" i="9" s="1"/>
  <c r="AG34" i="9"/>
  <c r="AH34" i="9" s="1"/>
  <c r="AG51" i="9"/>
  <c r="AH51" i="9" s="1"/>
  <c r="AG57" i="9"/>
  <c r="AH57" i="9" s="1"/>
  <c r="AG14" i="9"/>
  <c r="AH14" i="9" s="1"/>
  <c r="B267" i="8" s="1"/>
  <c r="AG7" i="9"/>
  <c r="AH7" i="9" s="1"/>
  <c r="H248" i="8" s="1"/>
  <c r="AG32" i="9"/>
  <c r="AH32" i="9" s="1"/>
  <c r="AG31" i="9"/>
  <c r="AH31" i="9" s="1"/>
  <c r="AG43" i="9"/>
  <c r="AH43" i="9" s="1"/>
  <c r="AG52" i="9"/>
  <c r="AH52" i="9" s="1"/>
  <c r="AG37" i="9"/>
  <c r="AH37" i="9" s="1"/>
  <c r="AG3" i="9"/>
  <c r="AH3" i="9" s="1"/>
  <c r="B244" i="8" s="1"/>
  <c r="AG39" i="9"/>
  <c r="AH39" i="9" s="1"/>
  <c r="AG71" i="9"/>
  <c r="AH71" i="9" s="1"/>
  <c r="AG69" i="9"/>
  <c r="AH69" i="9" s="1"/>
  <c r="AG58" i="9"/>
  <c r="AH58" i="9" s="1"/>
  <c r="AG8" i="9"/>
  <c r="AH8" i="9" s="1"/>
  <c r="AG61" i="9"/>
  <c r="AH61" i="9" s="1"/>
  <c r="AG28" i="9"/>
  <c r="AH28" i="9" s="1"/>
  <c r="AG13" i="9"/>
  <c r="AH13" i="9" s="1"/>
  <c r="A254" i="8" s="1"/>
  <c r="N254" i="8" s="1"/>
  <c r="AG23" i="9"/>
  <c r="AH23" i="9" s="1"/>
  <c r="AG48" i="9"/>
  <c r="AH48" i="9" s="1"/>
  <c r="AG45" i="9"/>
  <c r="AH45" i="9" s="1"/>
  <c r="AG62" i="9"/>
  <c r="AH62" i="9" s="1"/>
  <c r="AG72" i="9"/>
  <c r="AH72" i="9" s="1"/>
  <c r="AG16" i="9"/>
  <c r="AH16" i="9" s="1"/>
  <c r="A257" i="8" s="1"/>
  <c r="N257" i="8" s="1"/>
  <c r="AG22" i="9"/>
  <c r="AH22" i="9" s="1"/>
  <c r="AG26" i="9"/>
  <c r="AH26" i="9" s="1"/>
  <c r="AG54" i="9"/>
  <c r="AH54" i="9" s="1"/>
  <c r="AG49" i="9"/>
  <c r="AH49" i="9" s="1"/>
  <c r="AG47" i="9"/>
  <c r="AH47" i="9" s="1"/>
  <c r="AG10" i="9"/>
  <c r="AH10" i="9" s="1"/>
  <c r="AG20" i="9"/>
  <c r="AH20" i="9" s="1"/>
  <c r="AG53" i="9"/>
  <c r="AH53" i="9" s="1"/>
  <c r="AG68" i="9"/>
  <c r="AH68" i="9" s="1"/>
  <c r="AG5" i="9"/>
  <c r="AH5" i="9" s="1"/>
  <c r="A246" i="8" s="1"/>
  <c r="N246" i="8" s="1"/>
  <c r="AG60" i="9"/>
  <c r="AH60" i="9" s="1"/>
  <c r="AG24" i="9"/>
  <c r="AH24" i="9" s="1"/>
  <c r="AG59" i="9"/>
  <c r="AH59" i="9" s="1"/>
  <c r="AG15" i="9"/>
  <c r="AH15" i="9" s="1"/>
  <c r="H256" i="8" s="1"/>
  <c r="AG67" i="9"/>
  <c r="AH67" i="9" s="1"/>
  <c r="AG41" i="9"/>
  <c r="AH41" i="9" s="1"/>
  <c r="AG29" i="9"/>
  <c r="AH29" i="9" s="1"/>
  <c r="AG33" i="9"/>
  <c r="AH33" i="9" s="1"/>
  <c r="AG25" i="9"/>
  <c r="AH25" i="9" s="1"/>
  <c r="AG64" i="9"/>
  <c r="AH64" i="9" s="1"/>
  <c r="AG46" i="9"/>
  <c r="AH46" i="9" s="1"/>
  <c r="AG30" i="9"/>
  <c r="AH30" i="9" s="1"/>
  <c r="H264" i="8"/>
  <c r="A252" i="8" l="1"/>
  <c r="N252" i="8" s="1"/>
  <c r="B264" i="8"/>
  <c r="B252" i="8"/>
  <c r="B251" i="8"/>
  <c r="A263" i="8"/>
  <c r="A250" i="8"/>
  <c r="N250" i="8" s="1"/>
  <c r="A262" i="8"/>
  <c r="A249" i="8"/>
  <c r="N249" i="8" s="1"/>
  <c r="A261" i="8"/>
  <c r="H250" i="8"/>
  <c r="H249" i="8"/>
  <c r="H258" i="8"/>
  <c r="B258" i="8"/>
  <c r="B265" i="8"/>
  <c r="H253" i="8"/>
  <c r="H262" i="8"/>
  <c r="H266" i="8"/>
  <c r="H267" i="8"/>
  <c r="H261" i="8"/>
  <c r="A256" i="8"/>
  <c r="N256" i="8" s="1"/>
  <c r="B247" i="8"/>
  <c r="B249" i="8"/>
  <c r="H255" i="8"/>
  <c r="B255" i="8"/>
  <c r="H247" i="8"/>
  <c r="H245" i="8"/>
  <c r="B245" i="8"/>
  <c r="A255" i="8"/>
  <c r="N255" i="8" s="1"/>
  <c r="A248" i="8"/>
  <c r="N248" i="8" s="1"/>
  <c r="B253" i="8"/>
  <c r="B262" i="8"/>
  <c r="B254" i="8"/>
  <c r="H265" i="8"/>
  <c r="B257" i="8"/>
  <c r="H246" i="8"/>
  <c r="B250" i="8"/>
  <c r="B261" i="8"/>
  <c r="B256" i="8"/>
  <c r="H251" i="8"/>
  <c r="H263" i="8"/>
  <c r="A251" i="8"/>
  <c r="N251" i="8" s="1"/>
  <c r="H257" i="8"/>
  <c r="B263" i="8"/>
  <c r="B248" i="8"/>
  <c r="B246" i="8"/>
  <c r="H254" i="8"/>
  <c r="B266" i="8"/>
  <c r="H244" i="8"/>
  <c r="A244" i="8"/>
  <c r="N244"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Sawtelle, Sarah (sas4hn)</author>
  </authors>
  <commentList>
    <comment ref="F3" authorId="0" shapeId="0" xr:uid="{00000000-0006-0000-0100-000001000000}">
      <text>
        <r>
          <rPr>
            <sz val="9"/>
            <color indexed="81"/>
            <rFont val="Tahoma"/>
            <family val="2"/>
          </rPr>
          <t>Up to 70</t>
        </r>
      </text>
    </comment>
    <comment ref="I3" authorId="1" shapeId="0" xr:uid="{00000000-0006-0000-0100-000002000000}">
      <text>
        <r>
          <rPr>
            <sz val="9"/>
            <color indexed="81"/>
            <rFont val="Tahoma"/>
            <family val="2"/>
          </rPr>
          <t>Used to determine honorable mentions.  Reg: Record &gt;= 4.5
ORC: Tied with last bid
NCT: 11-15</t>
        </r>
      </text>
    </comment>
    <comment ref="F4" authorId="1" shapeId="0" xr:uid="{00000000-0006-0000-0100-000003000000}">
      <text>
        <r>
          <rPr>
            <sz val="9"/>
            <color indexed="81"/>
            <rFont val="Tahoma"/>
            <family val="2"/>
          </rPr>
          <t>2 or 3</t>
        </r>
      </text>
    </comment>
    <comment ref="F5" authorId="1" shapeId="0" xr:uid="{00000000-0006-0000-0100-000004000000}">
      <text>
        <r>
          <rPr>
            <sz val="9"/>
            <color indexed="81"/>
            <rFont val="Tahoma"/>
            <family val="2"/>
          </rPr>
          <t>Up to 15</t>
        </r>
      </text>
    </comment>
    <comment ref="F6" authorId="1" shapeId="0" xr:uid="{00000000-0006-0000-0100-000005000000}">
      <text>
        <r>
          <rPr>
            <sz val="9"/>
            <color indexed="81"/>
            <rFont val="Tahoma"/>
            <family val="2"/>
          </rPr>
          <t xml:space="preserve">Reg: Record &gt;= 4.5
ORC: Tied with last bid
NCT: 11-15
</t>
        </r>
      </text>
    </comment>
    <comment ref="F7" authorId="1" shapeId="0" xr:uid="{00000000-0006-0000-0100-000006000000}">
      <text>
        <r>
          <rPr>
            <sz val="9"/>
            <color indexed="81"/>
            <rFont val="Tahoma"/>
            <family val="2"/>
          </rPr>
          <t xml:space="preserve">Reg: Record &gt;= 4.5
ORC: Tied with last bid
NCT: 11-15
</t>
        </r>
      </text>
    </comment>
  </commentList>
</comments>
</file>

<file path=xl/sharedStrings.xml><?xml version="1.0" encoding="utf-8"?>
<sst xmlns="http://schemas.openxmlformats.org/spreadsheetml/2006/main" count="2420" uniqueCount="483">
  <si>
    <t>Tournament Name</t>
  </si>
  <si>
    <t>Host</t>
  </si>
  <si>
    <t>Location</t>
  </si>
  <si>
    <t>Date</t>
  </si>
  <si>
    <t>Coach Information</t>
  </si>
  <si>
    <t>Roster</t>
  </si>
  <si>
    <t>Number of Teams</t>
  </si>
  <si>
    <t>School</t>
  </si>
  <si>
    <t>Number</t>
  </si>
  <si>
    <t>Name</t>
  </si>
  <si>
    <t>Captain Information</t>
  </si>
  <si>
    <t>Student 1</t>
  </si>
  <si>
    <t>Student 2</t>
  </si>
  <si>
    <t>Student 3</t>
  </si>
  <si>
    <t>Student 4</t>
  </si>
  <si>
    <t>Student 5</t>
  </si>
  <si>
    <t>Student 6</t>
  </si>
  <si>
    <t>Student 7</t>
  </si>
  <si>
    <t>Student 8</t>
  </si>
  <si>
    <t>Student 9</t>
  </si>
  <si>
    <t>Student 10</t>
  </si>
  <si>
    <t>Tournament Information</t>
  </si>
  <si>
    <t>Team Information</t>
  </si>
  <si>
    <t>Official Tabulation Summary</t>
  </si>
  <si>
    <t>Team</t>
  </si>
  <si>
    <t>Round 1</t>
  </si>
  <si>
    <t>Round 2</t>
  </si>
  <si>
    <t>Round 3</t>
  </si>
  <si>
    <t>Round 4</t>
  </si>
  <si>
    <t>Record</t>
  </si>
  <si>
    <t>v.</t>
  </si>
  <si>
    <t>PD</t>
  </si>
  <si>
    <t>Number of Ballots</t>
  </si>
  <si>
    <t>P</t>
  </si>
  <si>
    <t>-</t>
  </si>
  <si>
    <t>CS</t>
  </si>
  <si>
    <t>OCS</t>
  </si>
  <si>
    <t>Tabulation Room Notes</t>
  </si>
  <si>
    <t>Show</t>
  </si>
  <si>
    <t>Opening Coin Flip</t>
  </si>
  <si>
    <t>Round 3 Coin Flip</t>
  </si>
  <si>
    <t>Representative 1</t>
  </si>
  <si>
    <t>Representative 2</t>
  </si>
  <si>
    <t>Outstanding Witnesses</t>
  </si>
  <si>
    <t>Outstanding Attorneys</t>
  </si>
  <si>
    <t>Round</t>
  </si>
  <si>
    <t>Room</t>
  </si>
  <si>
    <t>D</t>
  </si>
  <si>
    <t>Side</t>
  </si>
  <si>
    <t>Ballot 1</t>
  </si>
  <si>
    <t>Ballot 2</t>
  </si>
  <si>
    <t>Ballot 3</t>
  </si>
  <si>
    <t>Side Won</t>
  </si>
  <si>
    <t>Ballot1</t>
  </si>
  <si>
    <t>Ballot2</t>
  </si>
  <si>
    <t>Ballot3</t>
  </si>
  <si>
    <t>P Rank</t>
  </si>
  <si>
    <t>D Rank</t>
  </si>
  <si>
    <t>Points</t>
  </si>
  <si>
    <t>Filter Here</t>
  </si>
  <si>
    <t>Team #</t>
  </si>
  <si>
    <t>Round 2 Begins Here</t>
  </si>
  <si>
    <t>Round 3 Begins Here</t>
  </si>
  <si>
    <t>Round 4 Begins Here</t>
  </si>
  <si>
    <t>Summary</t>
  </si>
  <si>
    <t>Calc CS</t>
  </si>
  <si>
    <t>Calc OCS</t>
  </si>
  <si>
    <t>Π wins</t>
  </si>
  <si>
    <t>Δ wins</t>
  </si>
  <si>
    <t>Sorted</t>
  </si>
  <si>
    <t>Teams MUST be in number order</t>
  </si>
  <si>
    <t>Offset</t>
  </si>
  <si>
    <t>T</t>
  </si>
  <si>
    <t>Honorable Mention</t>
  </si>
  <si>
    <t>Jesse Deposition</t>
  </si>
  <si>
    <t>P Witnesses</t>
  </si>
  <si>
    <t>D Witnesses</t>
  </si>
  <si>
    <t>Intentional Shooting</t>
  </si>
  <si>
    <t>.</t>
  </si>
  <si>
    <t>Number of Top Teams</t>
  </si>
  <si>
    <t>Additional Hon. Ment.</t>
  </si>
  <si>
    <t>Next Tourn Name</t>
  </si>
  <si>
    <t>Next Tourn Date</t>
  </si>
  <si>
    <t>Next Tourn Location</t>
  </si>
  <si>
    <t>Filter Rows</t>
  </si>
  <si>
    <t>Spirit of AMTA</t>
  </si>
  <si>
    <t>Judge</t>
  </si>
  <si>
    <t>R1</t>
  </si>
  <si>
    <t>Avg P PD</t>
  </si>
  <si>
    <t>R2</t>
  </si>
  <si>
    <t>R4</t>
  </si>
  <si>
    <t>R3</t>
  </si>
  <si>
    <t>Case Balance</t>
  </si>
  <si>
    <t>Overall</t>
  </si>
  <si>
    <t>Team1</t>
  </si>
  <si>
    <t>Team2</t>
  </si>
  <si>
    <t>Team3</t>
  </si>
  <si>
    <t>Team4</t>
  </si>
  <si>
    <t>Team5</t>
  </si>
  <si>
    <t>Team6</t>
  </si>
  <si>
    <t>Team7</t>
  </si>
  <si>
    <t>Team8</t>
  </si>
  <si>
    <t>Team9</t>
  </si>
  <si>
    <t>Team10</t>
  </si>
  <si>
    <t>Team11</t>
  </si>
  <si>
    <t>Team12</t>
  </si>
  <si>
    <t>Team13</t>
  </si>
  <si>
    <t>Team14</t>
  </si>
  <si>
    <t>Team15</t>
  </si>
  <si>
    <t>Team16</t>
  </si>
  <si>
    <t>Team17</t>
  </si>
  <si>
    <t>Team18</t>
  </si>
  <si>
    <t>Team19</t>
  </si>
  <si>
    <t>Team20</t>
  </si>
  <si>
    <t>Team21</t>
  </si>
  <si>
    <t>Team22</t>
  </si>
  <si>
    <t>Team23</t>
  </si>
  <si>
    <t>Team24</t>
  </si>
  <si>
    <t>Team25</t>
  </si>
  <si>
    <t>Team26</t>
  </si>
  <si>
    <t>Team27</t>
  </si>
  <si>
    <t>Team28</t>
  </si>
  <si>
    <t>Team29</t>
  </si>
  <si>
    <t>Team30</t>
  </si>
  <si>
    <t>Team31</t>
  </si>
  <si>
    <t>Team32</t>
  </si>
  <si>
    <t>Team33</t>
  </si>
  <si>
    <t>Team34</t>
  </si>
  <si>
    <t>Team35</t>
  </si>
  <si>
    <t>Team36</t>
  </si>
  <si>
    <t>Team37</t>
  </si>
  <si>
    <t>Team38</t>
  </si>
  <si>
    <t>Team39</t>
  </si>
  <si>
    <t>Team40</t>
  </si>
  <si>
    <t>AMTA Information</t>
  </si>
  <si>
    <t>Awarded to the team that best exemplifies the ideals of honesty, civility and fair play</t>
  </si>
  <si>
    <t>For Regionals and ORCS</t>
  </si>
  <si>
    <t>H2H</t>
  </si>
  <si>
    <t>Notes on the Tab Summary</t>
  </si>
  <si>
    <t>This is designed to generate the tabulation summary automatically based on information from other tabs in the spreadsheet.  It can accommodate 2-40 teams with either 2 or 3 scoring judges according to the standard AMTA calculations.</t>
  </si>
  <si>
    <t>Tournament Info</t>
  </si>
  <si>
    <t>This contains the basic information for the tournament, such as the number of rounds, number of individual awards, name, etc.  For an AMTA tournament, this would be populated by AMTA before being sent the representative.</t>
  </si>
  <si>
    <t>Names highlighted in red indicate the presence of a comma.  Verify that the names are correct and in First Last format before the tournament begins.</t>
  </si>
  <si>
    <t>Tab Summary</t>
  </si>
  <si>
    <t>Ballot Entry</t>
  </si>
  <si>
    <t>This is where the action is.  It powers everything else.</t>
  </si>
  <si>
    <t>Use cell A2 to hide rows (marked "hide") that aren't needed for this tournament (i.e. the third judge or rounds for a larger number of teams.)</t>
  </si>
  <si>
    <t>In column B, list the room numbers used in the blue cells.  The rooms used in one round will be presumed to be the rooms used in the next, but this can be overwritten.</t>
  </si>
  <si>
    <t>Captains Info</t>
  </si>
  <si>
    <t>Tab</t>
  </si>
  <si>
    <t>Notes</t>
  </si>
  <si>
    <t>If you choose to collect this data, it will populate additional information in the Stats sheet.</t>
  </si>
  <si>
    <t>Stats</t>
  </si>
  <si>
    <t>To Add</t>
  </si>
  <si>
    <t>Notes to myself: what it sounds like</t>
  </si>
  <si>
    <t>Hidden Tabs</t>
  </si>
  <si>
    <t>Team Calcs</t>
  </si>
  <si>
    <t>All the messy stuff behidn the scenes.</t>
  </si>
  <si>
    <t>Ballots for Export</t>
  </si>
  <si>
    <t>What it sounds like</t>
  </si>
  <si>
    <t>Use cell A2 to filter out rows that aren't needed for this tournament.</t>
  </si>
  <si>
    <t>Rank</t>
  </si>
  <si>
    <t>Negligence</t>
  </si>
  <si>
    <t>Deposition #1</t>
  </si>
  <si>
    <t>Deposition #2</t>
  </si>
  <si>
    <t>Deposition #3</t>
  </si>
  <si>
    <t>Defense “Strike”</t>
  </si>
  <si>
    <t>Π Liability Theory</t>
  </si>
  <si>
    <t>Witness Calls</t>
  </si>
  <si>
    <t>n/a</t>
  </si>
  <si>
    <t>D Ttl</t>
  </si>
  <si>
    <t>P Ttl</t>
  </si>
  <si>
    <t>Tails</t>
  </si>
  <si>
    <t>Spirit of AMTA Award</t>
  </si>
  <si>
    <t>3,4,6</t>
  </si>
  <si>
    <t>1,2,3</t>
  </si>
  <si>
    <t>2,3,4</t>
  </si>
  <si>
    <t>2,3,6</t>
  </si>
  <si>
    <t>1,2,5</t>
  </si>
  <si>
    <t>2,3,5</t>
  </si>
  <si>
    <t>3,4,5</t>
  </si>
  <si>
    <t>4,5,6</t>
  </si>
  <si>
    <t>4,5,7</t>
  </si>
  <si>
    <t>5,6,7</t>
  </si>
  <si>
    <t>1,2,7</t>
  </si>
  <si>
    <t>2,3,7</t>
  </si>
  <si>
    <t>3,4,7</t>
  </si>
  <si>
    <t>1,2,4</t>
  </si>
  <si>
    <t>1,2,6</t>
  </si>
  <si>
    <t>P Combinations</t>
  </si>
  <si>
    <t>Count</t>
  </si>
  <si>
    <t>D Combinations</t>
  </si>
  <si>
    <t>1,2,8</t>
  </si>
  <si>
    <t>2,3,8</t>
  </si>
  <si>
    <t>1,2,9</t>
  </si>
  <si>
    <t>2,3,9</t>
  </si>
  <si>
    <t>P Calls</t>
  </si>
  <si>
    <t>D Calls</t>
  </si>
  <si>
    <t>AbsV PD</t>
  </si>
  <si>
    <t>P Calls Num</t>
  </si>
  <si>
    <t>D Calls Num</t>
  </si>
  <si>
    <t>HTH</t>
  </si>
  <si>
    <t>Add team rosters here.  This populates the name drop-down for individual awards.</t>
  </si>
  <si>
    <t>This spreadsheet is automatically generated based on the data entered throughout the tournament.  No TEAM RECORD data on this form should be changed.</t>
  </si>
  <si>
    <t>For individual awards, entering the team number should activate a drop-down of roster names based on the "Tournament Info" tab.  If rosters are not pre-entered by AMTA, enter all the likely names after R3 to make this go easier after R4.</t>
  </si>
  <si>
    <t>In columnd D and F, list the P and D teams in each round.</t>
  </si>
  <si>
    <t>In column I enter the PD for the winning team.  All numbers should be positive or zero.</t>
  </si>
  <si>
    <t>If a byebuster member is eligible for an individual award, add tghem to the "Tournament Info" form.</t>
  </si>
  <si>
    <t>You can add notes in these rows</t>
  </si>
  <si>
    <t>Note:</t>
  </si>
  <si>
    <t>Entering the team number will auto-populate the team name and</t>
  </si>
  <si>
    <t>provide a drop-down in column C with the names on the team's roster.</t>
  </si>
  <si>
    <t>(This may not work on older versions of Excel)</t>
  </si>
  <si>
    <t>Last row for witnesses</t>
  </si>
  <si>
    <t>Last row for attorneys</t>
  </si>
  <si>
    <t>Heads</t>
  </si>
  <si>
    <t>Level</t>
  </si>
  <si>
    <t>Regional</t>
  </si>
  <si>
    <t>ORC</t>
  </si>
  <si>
    <t>NCT</t>
  </si>
  <si>
    <t>Π</t>
  </si>
  <si>
    <t>Δ</t>
  </si>
  <si>
    <t>Cell</t>
  </si>
  <si>
    <t>Email</t>
  </si>
  <si>
    <t>Reg HM</t>
  </si>
  <si>
    <t>Orcs HM</t>
  </si>
  <si>
    <t>Honorable</t>
  </si>
  <si>
    <t>v3.2</t>
  </si>
  <si>
    <t>New Data Entry format</t>
  </si>
  <si>
    <t>Validation for individual awards</t>
  </si>
  <si>
    <t>No individual award calculations</t>
  </si>
  <si>
    <t>H2H for Record and CS</t>
  </si>
  <si>
    <t>Improved data export to incorporate captains' meeting</t>
  </si>
  <si>
    <t>Witness combination calculatons</t>
  </si>
  <si>
    <t>Conditional formatting on data entry to highlight if a team number is used twice/round</t>
  </si>
  <si>
    <t>Data validation fo team numers on data entry and tab summary</t>
  </si>
  <si>
    <t xml:space="preserve">v 3.3 </t>
  </si>
  <si>
    <t>Fix CS H2H (prev. only worked if only two teams had the same record)</t>
  </si>
  <si>
    <t>Fix H2H - some formulas pasted on the wrong rows</t>
  </si>
  <si>
    <t>Quick Review</t>
  </si>
  <si>
    <t>Honorable Mentions should automatically calculate for Regionals and ORCs.  If you wish to manually assign a number of HM, enter the number of HM teams in F6.</t>
  </si>
  <si>
    <t>Hide</t>
  </si>
  <si>
    <t>AMTA Representatives</t>
  </si>
  <si>
    <t>Outstanding Trial Teams</t>
  </si>
  <si>
    <t>If you have troubles</t>
  </si>
  <si>
    <t>The numbers don't update</t>
  </si>
  <si>
    <t>Save the document.  This worksheet has a lot of fomulas and linked cells that may not update immediately, but should update if you save the document.</t>
  </si>
  <si>
    <t>Two teams are inverted in the rankings</t>
  </si>
  <si>
    <t>Did one win a "head to head" tiebreaker?  Check the "Quick Review" tab.</t>
  </si>
  <si>
    <t>Be sure that all potential individual award winners in the roster fields on the Tournament Info tab!</t>
  </si>
  <si>
    <t>Column "AA" to the right of the main data indicates where data can/should be manually entered.</t>
  </si>
  <si>
    <t>Once all data has been entered, use the drop-down selecter in cell Z8 to only show the rows indicated as "show".  This will ensure that the proper rows for this tournament are visible.</t>
  </si>
  <si>
    <t>In column H, enter the winner of the round for each ballot used,  either P or D or T.  Each ballot gets it's own row for each round.</t>
  </si>
  <si>
    <t>Please do not copy/paste values in this section.</t>
  </si>
  <si>
    <t>Additional Stats for general consumption and for AMTA to track case information.</t>
  </si>
  <si>
    <t>An overview of each team's record to compare against the tab cards.</t>
  </si>
  <si>
    <t>XX</t>
  </si>
  <si>
    <t>Enter the Ranks in Column A, and then the Team Number in Column B.</t>
  </si>
  <si>
    <t>When you enter team number, the name of the school will automatically populate</t>
  </si>
  <si>
    <t>Notes can be added in column E.</t>
  </si>
  <si>
    <t>3,4,8</t>
  </si>
  <si>
    <t>3,4,9</t>
  </si>
  <si>
    <t>4,5,8</t>
  </si>
  <si>
    <t>4,5,9</t>
  </si>
  <si>
    <t>5,6,8</t>
  </si>
  <si>
    <t>5,6,9</t>
  </si>
  <si>
    <t>6,7,8</t>
  </si>
  <si>
    <t>6,7,9</t>
  </si>
  <si>
    <t>7,8,9</t>
  </si>
  <si>
    <t>Update Captians' Form</t>
  </si>
  <si>
    <t>Gender</t>
  </si>
  <si>
    <t>Call #</t>
  </si>
  <si>
    <t>M</t>
  </si>
  <si>
    <t>F</t>
  </si>
  <si>
    <t>Update Stats for Case Committee to match Captains' Form</t>
  </si>
  <si>
    <t>v2016.1</t>
  </si>
  <si>
    <t>v2016.2</t>
  </si>
  <si>
    <t>Fixed conditional formatting on Captains' form</t>
  </si>
  <si>
    <t>v2016.3</t>
  </si>
  <si>
    <t>Fixed lookups on Captains' form that got broken in last update.</t>
  </si>
  <si>
    <t>v2016.4</t>
  </si>
  <si>
    <t>Fixed error in HTH calculations</t>
  </si>
  <si>
    <t>Damages</t>
  </si>
  <si>
    <t>Liability (bifurcated)</t>
  </si>
  <si>
    <r>
      <t xml:space="preserve">Liability </t>
    </r>
    <r>
      <rPr>
        <i/>
        <sz val="10"/>
        <color theme="4" tint="-0.499984740745262"/>
        <rFont val="Calibri"/>
        <family val="2"/>
      </rPr>
      <t>(bifurcated)</t>
    </r>
  </si>
  <si>
    <t>Liability or Damages</t>
  </si>
  <si>
    <t>Strategy</t>
  </si>
  <si>
    <t>Data for the Case Committee</t>
  </si>
  <si>
    <t>Case Theory</t>
  </si>
  <si>
    <t>v2017.1</t>
  </si>
  <si>
    <t>v2017.2</t>
  </si>
  <si>
    <t>Fixed error in HTH calculations and added HTH text on tab summary</t>
  </si>
  <si>
    <t>Updated for 2016-2017 case</t>
  </si>
  <si>
    <t>v2017.3</t>
  </si>
  <si>
    <t>Corrected protected cells for individual awards.</t>
  </si>
  <si>
    <t>v2018.1</t>
  </si>
  <si>
    <t>Updated Captains' data collection</t>
  </si>
  <si>
    <t>v2018.2</t>
  </si>
  <si>
    <t>Corrected data validation rules for Captains' data collection</t>
  </si>
  <si>
    <t>v2018.3</t>
  </si>
  <si>
    <t>Added Sam Mitchell to Captain's Info</t>
  </si>
  <si>
    <t>v2018.4 NCT</t>
  </si>
  <si>
    <t>Fixed coding to hide rows for "Earned Bid to" on Tab summary, and added third AMTA Rep.</t>
  </si>
  <si>
    <t>v2018.5</t>
  </si>
  <si>
    <t>Changed the "Xth place after Round 3" on tab summary to hide for NCT.</t>
  </si>
  <si>
    <t>v2019.1</t>
  </si>
  <si>
    <t>Made changes to fit the new case</t>
  </si>
  <si>
    <t>Alex Grace</t>
  </si>
  <si>
    <t>Jameson Clark</t>
  </si>
  <si>
    <t>Willoughby Hawkins</t>
  </si>
  <si>
    <t>Ashley Thornhill</t>
  </si>
  <si>
    <t>Miller McCoy</t>
  </si>
  <si>
    <t>Hunter Cooper</t>
  </si>
  <si>
    <t>Remy Hollis</t>
  </si>
  <si>
    <t>A.J. McClellan</t>
  </si>
  <si>
    <t>Harper Villafana</t>
  </si>
  <si>
    <t>Danny Kosack</t>
  </si>
  <si>
    <t>v2019.2</t>
  </si>
  <si>
    <t>Edited worksheet styles to see if they could be edited generally</t>
  </si>
  <si>
    <t>To change the image from the AMTA logo, right click on the AMTA logo and select "Change Picture."</t>
  </si>
  <si>
    <t>Fonts and colors can be edited without effecting the embedded formulas, but may effect print formatting.</t>
  </si>
  <si>
    <t>v2019.3</t>
  </si>
  <si>
    <t>Add pages for individual awards</t>
  </si>
  <si>
    <t>NameSide</t>
  </si>
  <si>
    <t>Name Count</t>
  </si>
  <si>
    <t>RankDups</t>
  </si>
  <si>
    <t>P Score</t>
  </si>
  <si>
    <t>D Score</t>
  </si>
  <si>
    <t>Max</t>
  </si>
  <si>
    <t>Individual Awards</t>
  </si>
  <si>
    <t>Ranks</t>
  </si>
  <si>
    <t>ATTORNEY RANKS</t>
  </si>
  <si>
    <t>Top Attorneys: Enter data below</t>
  </si>
  <si>
    <t>ENTER PRELIMINARY DATA BELOW</t>
  </si>
  <si>
    <t>The minimum number of ranks needed to place, the cutoff, will be automatically updated.</t>
  </si>
  <si>
    <t>As rows fall beneath the cutoff for the minimum points needed, it will be shaded grey.  Any grey row can be overwritten without effecting the relevant calculations.</t>
  </si>
  <si>
    <t>The results will automatically populate the tab summary.  You do not need to sort or otherwise manipulate the data.</t>
  </si>
  <si>
    <t>Cutoff</t>
  </si>
  <si>
    <t>WITNESS RANKS</t>
  </si>
  <si>
    <t>School (Populated by Team#)</t>
  </si>
  <si>
    <t>Enter preliminary ranks data below, with one row for each side (P/D), up to 50 rows.</t>
  </si>
  <si>
    <t>The number of individual awards is set on the Tournament Info tab, cell F7, and all ties are included.</t>
  </si>
  <si>
    <t>INSTRUCTIONS</t>
  </si>
  <si>
    <r>
      <t xml:space="preserve">If an individual is listed with three rows, the third row will be shaded a </t>
    </r>
    <r>
      <rPr>
        <sz val="10"/>
        <color rgb="FFC00000"/>
        <rFont val="Tahoma"/>
        <family val="2"/>
        <scheme val="minor"/>
      </rPr>
      <t>deep red</t>
    </r>
    <r>
      <rPr>
        <sz val="10"/>
        <color theme="4" tint="-0.499984740745262"/>
        <rFont val="Tahoma"/>
        <family val="2"/>
        <scheme val="minor"/>
      </rPr>
      <t>. Remove the extra row.</t>
    </r>
  </si>
  <si>
    <t>Be sure to sum all ranks for each side across both P or D rounds.</t>
  </si>
  <si>
    <t>Team41</t>
  </si>
  <si>
    <t>Team42</t>
  </si>
  <si>
    <t>Team43</t>
  </si>
  <si>
    <t>Team44</t>
  </si>
  <si>
    <t>Team45</t>
  </si>
  <si>
    <t>Team46</t>
  </si>
  <si>
    <t>Team47</t>
  </si>
  <si>
    <t>Team48</t>
  </si>
  <si>
    <t>Team49</t>
  </si>
  <si>
    <t>Team50</t>
  </si>
  <si>
    <t>Team51</t>
  </si>
  <si>
    <t>Team52</t>
  </si>
  <si>
    <t>Team53</t>
  </si>
  <si>
    <t>Team54</t>
  </si>
  <si>
    <t>Team55</t>
  </si>
  <si>
    <t>Team56</t>
  </si>
  <si>
    <t>Team57</t>
  </si>
  <si>
    <t>Team58</t>
  </si>
  <si>
    <t>Team59</t>
  </si>
  <si>
    <t>Team60</t>
  </si>
  <si>
    <t>Team61</t>
  </si>
  <si>
    <t>Team62</t>
  </si>
  <si>
    <t>Team63</t>
  </si>
  <si>
    <t>Team64</t>
  </si>
  <si>
    <t>Team65</t>
  </si>
  <si>
    <t>Team66</t>
  </si>
  <si>
    <t>Team67</t>
  </si>
  <si>
    <t>Team68</t>
  </si>
  <si>
    <t>Team69</t>
  </si>
  <si>
    <t>Team70</t>
  </si>
  <si>
    <t>v2019.4</t>
  </si>
  <si>
    <t>1,3,4</t>
  </si>
  <si>
    <t>1,3,5</t>
  </si>
  <si>
    <t>1,3,6</t>
  </si>
  <si>
    <t>1,3,7</t>
  </si>
  <si>
    <t>1,3,8</t>
  </si>
  <si>
    <t>1,3,9</t>
  </si>
  <si>
    <t>1,4,5</t>
  </si>
  <si>
    <t>1,4,6</t>
  </si>
  <si>
    <t>1,4,7</t>
  </si>
  <si>
    <t>1,4,8</t>
  </si>
  <si>
    <t>1,4,9</t>
  </si>
  <si>
    <t>2,4,5</t>
  </si>
  <si>
    <t>2,5,6</t>
  </si>
  <si>
    <t>2,6,7</t>
  </si>
  <si>
    <t>2,4,6</t>
  </si>
  <si>
    <t>2,4,7</t>
  </si>
  <si>
    <t>2,4,8</t>
  </si>
  <si>
    <t>2,4,9</t>
  </si>
  <si>
    <t>2,5,7</t>
  </si>
  <si>
    <t>2,5,8</t>
  </si>
  <si>
    <t>2,5,9</t>
  </si>
  <si>
    <t>2,6,8</t>
  </si>
  <si>
    <t>2,6,9</t>
  </si>
  <si>
    <t>2,7,8</t>
  </si>
  <si>
    <t>2,7,9</t>
  </si>
  <si>
    <t>2,8,9</t>
  </si>
  <si>
    <t>3,5,6</t>
  </si>
  <si>
    <t>3,5,7</t>
  </si>
  <si>
    <t>3,5,8</t>
  </si>
  <si>
    <t>3,5,9</t>
  </si>
  <si>
    <t>3,6,7</t>
  </si>
  <si>
    <t>3,6,8</t>
  </si>
  <si>
    <t>3,6,9</t>
  </si>
  <si>
    <t>3,7,8</t>
  </si>
  <si>
    <t>3,7,9</t>
  </si>
  <si>
    <t>3,8,9</t>
  </si>
  <si>
    <t>4,6,7</t>
  </si>
  <si>
    <t>4,6,8</t>
  </si>
  <si>
    <t>4,6,9</t>
  </si>
  <si>
    <t>4,7,8</t>
  </si>
  <si>
    <t>4,7,9</t>
  </si>
  <si>
    <t>4,8,9</t>
  </si>
  <si>
    <t>5,7,8</t>
  </si>
  <si>
    <t>5,7,9</t>
  </si>
  <si>
    <t>5,8,9</t>
  </si>
  <si>
    <t>6,8,9</t>
  </si>
  <si>
    <t>Embiggen to handle 70 teams. Thanks, Loras. HTH has become corrupted. Need to investigate.</t>
  </si>
  <si>
    <t>SHUTDOWN SHOWDOWN</t>
  </si>
  <si>
    <t>Brooklyn Law School - New York City</t>
  </si>
  <si>
    <t>January 26 - 27, 2019</t>
  </si>
  <si>
    <t>Virginia</t>
  </si>
  <si>
    <t>Cornell</t>
  </si>
  <si>
    <t>Haverford</t>
  </si>
  <si>
    <t>Rhodes</t>
  </si>
  <si>
    <t>Northwood</t>
  </si>
  <si>
    <t>Michigan</t>
  </si>
  <si>
    <t>UC Berkeley</t>
  </si>
  <si>
    <t>Tufts</t>
  </si>
  <si>
    <t>Columbia</t>
  </si>
  <si>
    <t>Ohio State</t>
  </si>
  <si>
    <t>Brown</t>
  </si>
  <si>
    <t>UCLA</t>
  </si>
  <si>
    <t>New York</t>
  </si>
  <si>
    <t>UC Irvine</t>
  </si>
  <si>
    <t>Harvard</t>
  </si>
  <si>
    <t>Yale</t>
  </si>
  <si>
    <t>Chicago</t>
  </si>
  <si>
    <t>Northwestern</t>
  </si>
  <si>
    <t>MCR - 7th</t>
  </si>
  <si>
    <t>Plaintiff Open</t>
  </si>
  <si>
    <t>Kate Hayes Slattery</t>
  </si>
  <si>
    <t>Plaintiff Mid</t>
  </si>
  <si>
    <t>Sam Cross</t>
  </si>
  <si>
    <t>Plaintiff Close</t>
  </si>
  <si>
    <t>Claudia Isaac</t>
  </si>
  <si>
    <t>Defense Open</t>
  </si>
  <si>
    <t>Allie Miller</t>
  </si>
  <si>
    <t>Defense Close</t>
  </si>
  <si>
    <t>Christian Navarrete</t>
  </si>
  <si>
    <t>Overall Ranks Runner Up</t>
  </si>
  <si>
    <t>Overall Most Ranks</t>
  </si>
  <si>
    <t>Elizabeth Bays</t>
  </si>
  <si>
    <t>Thornhill</t>
  </si>
  <si>
    <t>Mashell Rahimzadeh</t>
  </si>
  <si>
    <t>Clark</t>
  </si>
  <si>
    <t>Adam Chase</t>
  </si>
  <si>
    <t>Hawkins</t>
  </si>
  <si>
    <t>Gurbir Sinah</t>
  </si>
  <si>
    <t>Villifana</t>
  </si>
  <si>
    <t>Kai Nugent</t>
  </si>
  <si>
    <t>Kosack</t>
  </si>
  <si>
    <t>McClellan</t>
  </si>
  <si>
    <t>Karli Zubek</t>
  </si>
  <si>
    <t>Hollis</t>
  </si>
  <si>
    <t>Natalia Heguaburo</t>
  </si>
  <si>
    <t>Cooper</t>
  </si>
  <si>
    <t>Simeon Lawrence</t>
  </si>
  <si>
    <t>McCoy</t>
  </si>
  <si>
    <t>Peter Bound</t>
  </si>
  <si>
    <t>Grace</t>
  </si>
  <si>
    <t>Brooke Bowerman</t>
  </si>
  <si>
    <t>Papa Yaw Senchery</t>
  </si>
  <si>
    <t>Combo (Hollis/McClellan)</t>
  </si>
  <si>
    <t>Gabriel Marquez</t>
  </si>
  <si>
    <t>Note that individual awards were given to those with the most ranks in each role (i.e. one Defense closer, one defense middle attorney, one Danny Kosack won awards). The AMTA-provided Tab Summary does not allow us edit the awards list to provide the roles below.</t>
  </si>
  <si>
    <t>Rhodes, Ohio State, UCLA, and Columbia</t>
  </si>
  <si>
    <t>Sabrina Grandhi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</si>
</sst>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0.0"/>
    <numFmt numFmtId="165" formatCode="0_);\(0\)"/>
    <numFmt numFmtId="166" formatCode="\+0;\-0;0"/>
    <numFmt numFmtId="167" formatCode="0.0"/>
  </numFmts>
  <fonts count="68" x14ac:knownFonts="1">
    <font>
      <sz val="10"/>
      <color theme="4" tint="-0.499984740745262"/>
      <name val="Tahoma"/>
      <family val="2"/>
      <scheme val="minor"/>
    </font>
    <font>
      <sz val="11"/>
      <color theme="1"/>
      <name val="Tahoma"/>
      <family val="2"/>
      <scheme val="minor"/>
    </font>
    <font>
      <sz val="10"/>
      <name val="Arial"/>
      <family val="2"/>
    </font>
    <font>
      <sz val="9"/>
      <color indexed="81"/>
      <name val="Tahoma"/>
      <family val="2"/>
    </font>
    <font>
      <b/>
      <sz val="10"/>
      <name val="Arial"/>
      <family val="2"/>
    </font>
    <font>
      <sz val="8"/>
      <name val="Garamond"/>
      <family val="1"/>
    </font>
    <font>
      <b/>
      <sz val="11"/>
      <name val="Garamond"/>
      <family val="1"/>
    </font>
    <font>
      <sz val="10"/>
      <name val="Calibri"/>
      <family val="2"/>
    </font>
    <font>
      <b/>
      <sz val="10"/>
      <name val="Calibri"/>
      <family val="2"/>
    </font>
    <font>
      <sz val="10"/>
      <color theme="4" tint="-0.499984740745262"/>
      <name val="Tahoma"/>
      <family val="2"/>
      <scheme val="minor"/>
    </font>
    <font>
      <sz val="11"/>
      <color theme="1"/>
      <name val="Tahoma"/>
      <family val="2"/>
      <scheme val="minor"/>
    </font>
    <font>
      <sz val="8"/>
      <color theme="7"/>
      <name val="Tahoma"/>
      <family val="2"/>
      <scheme val="minor"/>
    </font>
    <font>
      <sz val="32"/>
      <color theme="4" tint="-0.499984740745262"/>
      <name val="Century"/>
      <family val="1"/>
      <scheme val="major"/>
    </font>
    <font>
      <sz val="21"/>
      <color theme="4" tint="-0.499984740745262"/>
      <name val="Century"/>
      <family val="1"/>
      <scheme val="major"/>
    </font>
    <font>
      <sz val="11"/>
      <color theme="4"/>
      <name val="Century"/>
      <family val="1"/>
      <scheme val="major"/>
    </font>
    <font>
      <sz val="8"/>
      <color theme="6"/>
      <name val="Tahoma"/>
      <family val="2"/>
      <scheme val="minor"/>
    </font>
    <font>
      <sz val="9"/>
      <color theme="7"/>
      <name val="Tahoma"/>
      <family val="2"/>
      <scheme val="minor"/>
    </font>
    <font>
      <sz val="8"/>
      <color theme="4" tint="-0.499984740745262"/>
      <name val="Tahoma"/>
      <family val="2"/>
      <scheme val="minor"/>
    </font>
    <font>
      <sz val="9"/>
      <color theme="3"/>
      <name val="Tahoma"/>
      <family val="2"/>
      <scheme val="minor"/>
    </font>
    <font>
      <b/>
      <sz val="20"/>
      <color theme="3"/>
      <name val="Century"/>
      <family val="2"/>
      <scheme val="major"/>
    </font>
    <font>
      <sz val="33"/>
      <color theme="0"/>
      <name val="Century"/>
      <family val="2"/>
      <scheme val="major"/>
    </font>
    <font>
      <sz val="10"/>
      <name val="Tahoma"/>
      <family val="2"/>
      <scheme val="minor"/>
    </font>
    <font>
      <b/>
      <sz val="10"/>
      <name val="Tahoma"/>
      <family val="2"/>
      <scheme val="minor"/>
    </font>
    <font>
      <sz val="10"/>
      <color theme="4" tint="-0.499984740745262"/>
      <name val="Calibri"/>
      <family val="2"/>
    </font>
    <font>
      <b/>
      <sz val="10"/>
      <color theme="4" tint="-0.499984740745262"/>
      <name val="Calibri"/>
      <family val="2"/>
    </font>
    <font>
      <b/>
      <sz val="10"/>
      <color theme="1" tint="0.34998626667073579"/>
      <name val="Calibri"/>
      <family val="2"/>
    </font>
    <font>
      <b/>
      <sz val="10"/>
      <color theme="4" tint="-0.499984740745262"/>
      <name val="Tahoma"/>
      <family val="2"/>
      <scheme val="minor"/>
    </font>
    <font>
      <b/>
      <sz val="10"/>
      <color theme="0"/>
      <name val="Calibri"/>
      <family val="2"/>
    </font>
    <font>
      <b/>
      <sz val="10"/>
      <color theme="2"/>
      <name val="Tahoma"/>
      <family val="2"/>
      <scheme val="minor"/>
    </font>
    <font>
      <sz val="8"/>
      <color theme="3"/>
      <name val="Tahoma"/>
      <family val="2"/>
      <scheme val="minor"/>
    </font>
    <font>
      <sz val="9"/>
      <color theme="1" tint="0.34998626667073579"/>
      <name val="Century"/>
      <family val="1"/>
    </font>
    <font>
      <b/>
      <sz val="9"/>
      <color theme="1" tint="0.34998626667073579"/>
      <name val="Century"/>
      <family val="1"/>
    </font>
    <font>
      <b/>
      <sz val="8"/>
      <color theme="4" tint="-0.499984740745262"/>
      <name val="Tahoma"/>
      <family val="2"/>
      <scheme val="minor"/>
    </font>
    <font>
      <b/>
      <u/>
      <sz val="10"/>
      <color theme="4" tint="-0.499984740745262"/>
      <name val="Tahoma"/>
      <family val="2"/>
      <scheme val="minor"/>
    </font>
    <font>
      <i/>
      <sz val="10"/>
      <color theme="4" tint="-0.499984740745262"/>
      <name val="Calibri"/>
      <family val="2"/>
    </font>
    <font>
      <sz val="10"/>
      <color theme="1" tint="0.34998626667073579"/>
      <name val="Calibri"/>
      <family val="2"/>
    </font>
    <font>
      <sz val="10"/>
      <color theme="8" tint="-0.249977111117893"/>
      <name val="Tahoma"/>
      <family val="2"/>
      <scheme val="minor"/>
    </font>
    <font>
      <b/>
      <sz val="10"/>
      <color theme="8" tint="-0.249977111117893"/>
      <name val="Tahoma"/>
      <family val="2"/>
      <scheme val="minor"/>
    </font>
    <font>
      <b/>
      <sz val="10"/>
      <color theme="2"/>
      <name val="Calibri"/>
      <family val="2"/>
    </font>
    <font>
      <b/>
      <sz val="9"/>
      <color theme="1" tint="0.34998626667073579"/>
      <name val="Century"/>
      <family val="1"/>
      <scheme val="major"/>
    </font>
    <font>
      <b/>
      <sz val="10"/>
      <color theme="0"/>
      <name val="Century"/>
      <family val="1"/>
      <scheme val="major"/>
    </font>
    <font>
      <b/>
      <sz val="12"/>
      <color theme="4" tint="-0.499984740745262"/>
      <name val="Century"/>
      <family val="1"/>
      <scheme val="major"/>
    </font>
    <font>
      <b/>
      <sz val="10"/>
      <color theme="4" tint="-0.499984740745262"/>
      <name val="Century"/>
      <family val="1"/>
      <scheme val="major"/>
    </font>
    <font>
      <b/>
      <sz val="14"/>
      <color theme="3"/>
      <name val="Century"/>
      <family val="1"/>
      <scheme val="major"/>
    </font>
    <font>
      <b/>
      <i/>
      <sz val="10"/>
      <color theme="3"/>
      <name val="Calibri"/>
      <family val="2"/>
    </font>
    <font>
      <sz val="10"/>
      <color theme="3"/>
      <name val="Calibri"/>
      <family val="2"/>
    </font>
    <font>
      <sz val="10"/>
      <color theme="0"/>
      <name val="Tahoma"/>
      <family val="2"/>
      <scheme val="minor"/>
    </font>
    <font>
      <u/>
      <sz val="10"/>
      <color theme="10"/>
      <name val="Tahoma"/>
      <family val="2"/>
      <scheme val="minor"/>
    </font>
    <font>
      <u/>
      <sz val="10"/>
      <color theme="11"/>
      <name val="Tahoma"/>
      <family val="2"/>
      <scheme val="minor"/>
    </font>
    <font>
      <sz val="8"/>
      <name val="Tahoma"/>
      <family val="2"/>
      <scheme val="minor"/>
    </font>
    <font>
      <sz val="10"/>
      <color theme="4" tint="-0.499984740745262"/>
      <name val="Symbol"/>
      <family val="1"/>
      <charset val="2"/>
    </font>
    <font>
      <b/>
      <sz val="10"/>
      <color theme="0"/>
      <name val="Tahoma"/>
      <family val="2"/>
      <scheme val="minor"/>
    </font>
    <font>
      <b/>
      <sz val="10"/>
      <color theme="3" tint="-0.499984740745262"/>
      <name val="Calibri"/>
      <family val="2"/>
    </font>
    <font>
      <sz val="10"/>
      <color theme="3" tint="-0.499984740745262"/>
      <name val="Calibri"/>
      <family val="2"/>
    </font>
    <font>
      <b/>
      <sz val="8"/>
      <color theme="0"/>
      <name val="Tahoma"/>
      <family val="2"/>
      <scheme val="minor"/>
    </font>
    <font>
      <b/>
      <sz val="10"/>
      <color theme="1" tint="0.34998626667073579"/>
      <name val="Bell MT"/>
      <family val="1"/>
    </font>
    <font>
      <sz val="10"/>
      <color theme="0"/>
      <name val="Calibri"/>
      <family val="2"/>
    </font>
    <font>
      <sz val="10"/>
      <color rgb="FFFF0000"/>
      <name val="Calibri"/>
      <family val="2"/>
    </font>
    <font>
      <sz val="10"/>
      <color theme="4" tint="-0.499984740745262"/>
      <name val="Tahoma"/>
      <family val="2"/>
    </font>
    <font>
      <sz val="10"/>
      <color theme="3"/>
      <name val="Garamond"/>
      <family val="1"/>
    </font>
    <font>
      <b/>
      <sz val="11"/>
      <color theme="1"/>
      <name val="Tahoma"/>
      <family val="2"/>
      <scheme val="minor"/>
    </font>
    <font>
      <b/>
      <sz val="11"/>
      <color theme="4" tint="-0.499984740745262"/>
      <name val="Tahoma"/>
      <family val="2"/>
      <scheme val="minor"/>
    </font>
    <font>
      <sz val="10"/>
      <color rgb="FFC00000"/>
      <name val="Tahoma"/>
      <family val="2"/>
      <scheme val="minor"/>
    </font>
    <font>
      <sz val="10"/>
      <color rgb="FFFF0000"/>
      <name val="Tahoma"/>
      <family val="2"/>
      <scheme val="minor"/>
    </font>
    <font>
      <sz val="10"/>
      <color theme="1" tint="0.14999847407452621"/>
      <name val="Calibri"/>
      <family val="2"/>
    </font>
    <font>
      <sz val="10"/>
      <color theme="1" tint="0.14999847407452621"/>
      <name val="Tahoma"/>
      <family val="2"/>
      <scheme val="minor"/>
    </font>
    <font>
      <b/>
      <sz val="10"/>
      <color theme="1" tint="0.14999847407452621"/>
      <name val="Calibri"/>
      <family val="2"/>
    </font>
    <font>
      <sz val="10"/>
      <color theme="1"/>
      <name val="Tahoma"/>
      <family val="2"/>
      <scheme val="minor"/>
    </font>
  </fonts>
  <fills count="17">
    <fill>
      <patternFill patternType="none"/>
    </fill>
    <fill>
      <patternFill patternType="gray125"/>
    </fill>
    <fill>
      <patternFill patternType="solid">
        <fgColor indexed="55"/>
        <bgColor indexed="64"/>
      </patternFill>
    </fill>
    <fill>
      <patternFill patternType="solid">
        <fgColor theme="6" tint="0.79998168889431442"/>
        <bgColor indexed="64"/>
      </patternFill>
    </fill>
    <fill>
      <patternFill patternType="solid">
        <fgColor theme="3" tint="-0.24994659260841701"/>
        <bgColor indexed="64"/>
      </patternFill>
    </fill>
    <fill>
      <patternFill patternType="solid">
        <fgColor theme="0"/>
        <bgColor indexed="64"/>
      </patternFill>
    </fill>
    <fill>
      <patternFill patternType="solid">
        <fgColor theme="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8" tint="0.79998168889431442"/>
        <bgColor theme="8" tint="0.79998168889431442"/>
      </patternFill>
    </fill>
    <fill>
      <patternFill patternType="solid">
        <fgColor theme="0" tint="-0.249977111117893"/>
        <bgColor indexed="64"/>
      </patternFill>
    </fill>
    <fill>
      <patternFill patternType="solid">
        <fgColor theme="8" tint="-0.249977111117893"/>
        <bgColor theme="4"/>
      </patternFill>
    </fill>
    <fill>
      <patternFill patternType="solid">
        <fgColor rgb="FFFFFF00"/>
        <bgColor indexed="64"/>
      </patternFill>
    </fill>
  </fills>
  <borders count="71">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indexed="55"/>
      </top>
      <bottom style="thin">
        <color auto="1"/>
      </bottom>
      <diagonal/>
    </border>
    <border>
      <left/>
      <right style="thin">
        <color auto="1"/>
      </right>
      <top style="thin">
        <color indexed="55"/>
      </top>
      <bottom style="thin">
        <color auto="1"/>
      </bottom>
      <diagonal/>
    </border>
    <border>
      <left/>
      <right/>
      <top style="thin">
        <color auto="1"/>
      </top>
      <bottom/>
      <diagonal/>
    </border>
    <border>
      <left/>
      <right/>
      <top style="thin">
        <color indexed="55"/>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theme="8" tint="0.79998168889431442"/>
      </bottom>
      <diagonal/>
    </border>
    <border>
      <left/>
      <right/>
      <top/>
      <bottom style="thin">
        <color theme="4" tint="0.79995117038483843"/>
      </bottom>
      <diagonal/>
    </border>
    <border>
      <left style="medium">
        <color theme="4" tint="0.79998168889431442"/>
      </left>
      <right/>
      <top/>
      <bottom/>
      <diagonal/>
    </border>
    <border>
      <left/>
      <right/>
      <top/>
      <bottom style="thick">
        <color theme="0" tint="-4.9989318521683403E-2"/>
      </bottom>
      <diagonal/>
    </border>
    <border>
      <left style="medium">
        <color theme="2"/>
      </left>
      <right style="thin">
        <color theme="3"/>
      </right>
      <top/>
      <bottom/>
      <diagonal/>
    </border>
    <border>
      <left style="thick">
        <color theme="0"/>
      </left>
      <right style="thin">
        <color theme="0"/>
      </right>
      <top style="thin">
        <color theme="0"/>
      </top>
      <bottom style="thick">
        <color theme="0"/>
      </bottom>
      <diagonal/>
    </border>
    <border>
      <left style="thick">
        <color theme="0"/>
      </left>
      <right style="thin">
        <color theme="0"/>
      </right>
      <top style="thick">
        <color theme="0"/>
      </top>
      <bottom style="thin">
        <color theme="0"/>
      </bottom>
      <diagonal/>
    </border>
    <border>
      <left style="thin">
        <color theme="0"/>
      </left>
      <right style="thick">
        <color theme="0"/>
      </right>
      <top style="thick">
        <color theme="0"/>
      </top>
      <bottom style="thin">
        <color theme="0"/>
      </bottom>
      <diagonal/>
    </border>
    <border>
      <left style="thick">
        <color theme="0"/>
      </left>
      <right style="thin">
        <color theme="0"/>
      </right>
      <top style="thin">
        <color theme="0"/>
      </top>
      <bottom style="thin">
        <color theme="0"/>
      </bottom>
      <diagonal/>
    </border>
    <border>
      <left style="thin">
        <color theme="0"/>
      </left>
      <right style="thick">
        <color theme="0"/>
      </right>
      <top style="thin">
        <color theme="0"/>
      </top>
      <bottom style="thin">
        <color theme="0"/>
      </bottom>
      <diagonal/>
    </border>
    <border>
      <left style="thin">
        <color theme="0"/>
      </left>
      <right style="thick">
        <color theme="0"/>
      </right>
      <top style="thin">
        <color theme="0"/>
      </top>
      <bottom style="thick">
        <color theme="0"/>
      </bottom>
      <diagonal/>
    </border>
    <border>
      <left/>
      <right/>
      <top style="thin">
        <color theme="8" tint="0.79998168889431442"/>
      </top>
      <bottom style="thin">
        <color theme="8" tint="0.79998168889431442"/>
      </bottom>
      <diagonal/>
    </border>
    <border>
      <left style="thick">
        <color theme="0"/>
      </left>
      <right style="thick">
        <color theme="0"/>
      </right>
      <top style="thick">
        <color theme="0"/>
      </top>
      <bottom style="thick">
        <color theme="0"/>
      </bottom>
      <diagonal/>
    </border>
    <border>
      <left style="hair">
        <color theme="2"/>
      </left>
      <right style="thick">
        <color theme="2"/>
      </right>
      <top style="thick">
        <color theme="2" tint="-0.14996795556505021"/>
      </top>
      <bottom style="hair">
        <color theme="2"/>
      </bottom>
      <diagonal/>
    </border>
    <border>
      <left/>
      <right/>
      <top style="medium">
        <color theme="0"/>
      </top>
      <bottom/>
      <diagonal/>
    </border>
    <border>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style="medium">
        <color theme="0"/>
      </left>
      <right/>
      <top/>
      <bottom/>
      <diagonal/>
    </border>
    <border>
      <left/>
      <right style="medium">
        <color theme="0"/>
      </right>
      <top/>
      <bottom style="medium">
        <color theme="0"/>
      </bottom>
      <diagonal/>
    </border>
    <border>
      <left/>
      <right/>
      <top style="thick">
        <color theme="2" tint="-0.14996795556505021"/>
      </top>
      <bottom/>
      <diagonal/>
    </border>
    <border>
      <left style="hair">
        <color theme="2"/>
      </left>
      <right style="hair">
        <color theme="0"/>
      </right>
      <top style="thick">
        <color theme="0"/>
      </top>
      <bottom style="hair">
        <color theme="0"/>
      </bottom>
      <diagonal/>
    </border>
    <border>
      <left style="hair">
        <color theme="2"/>
      </left>
      <right style="hair">
        <color theme="0"/>
      </right>
      <top style="hair">
        <color theme="0"/>
      </top>
      <bottom style="hair">
        <color theme="0"/>
      </bottom>
      <diagonal/>
    </border>
    <border>
      <left style="hair">
        <color theme="2"/>
      </left>
      <right style="hair">
        <color theme="0"/>
      </right>
      <top style="hair">
        <color theme="0"/>
      </top>
      <bottom style="thick">
        <color theme="0"/>
      </bottom>
      <diagonal/>
    </border>
    <border>
      <left/>
      <right/>
      <top style="thick">
        <color theme="0"/>
      </top>
      <bottom style="thick">
        <color theme="0"/>
      </bottom>
      <diagonal/>
    </border>
    <border>
      <left/>
      <right/>
      <top style="thick">
        <color theme="0" tint="-0.14996795556505021"/>
      </top>
      <bottom/>
      <diagonal/>
    </border>
    <border>
      <left style="hair">
        <color theme="2"/>
      </left>
      <right style="hair">
        <color theme="2"/>
      </right>
      <top style="thick">
        <color theme="2" tint="-0.14996795556505021"/>
      </top>
      <bottom style="hair">
        <color theme="2"/>
      </bottom>
      <diagonal/>
    </border>
    <border>
      <left/>
      <right/>
      <top style="thin">
        <color theme="8"/>
      </top>
      <bottom/>
      <diagonal/>
    </border>
    <border>
      <left style="thin">
        <color auto="1"/>
      </left>
      <right/>
      <top style="thin">
        <color theme="8"/>
      </top>
      <bottom/>
      <diagonal/>
    </border>
    <border>
      <left/>
      <right/>
      <top style="thin">
        <color theme="3"/>
      </top>
      <bottom/>
      <diagonal/>
    </border>
    <border>
      <left style="thick">
        <color theme="0"/>
      </left>
      <right style="thin">
        <color theme="0"/>
      </right>
      <top style="thick">
        <color theme="0"/>
      </top>
      <bottom/>
      <diagonal/>
    </border>
    <border>
      <left style="thick">
        <color theme="0"/>
      </left>
      <right style="thin">
        <color theme="0"/>
      </right>
      <top/>
      <bottom style="thick">
        <color theme="0"/>
      </bottom>
      <diagonal/>
    </border>
    <border>
      <left style="thin">
        <color auto="1"/>
      </left>
      <right style="thin">
        <color auto="1"/>
      </right>
      <top style="thin">
        <color theme="8"/>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thin">
        <color auto="1"/>
      </top>
      <bottom style="thin">
        <color auto="1"/>
      </bottom>
      <diagonal/>
    </border>
    <border>
      <left/>
      <right style="medium">
        <color theme="2"/>
      </right>
      <top style="thin">
        <color auto="1"/>
      </top>
      <bottom style="thin">
        <color auto="1"/>
      </bottom>
      <diagonal/>
    </border>
    <border>
      <left style="thick">
        <color theme="0"/>
      </left>
      <right style="thick">
        <color theme="0"/>
      </right>
      <top/>
      <bottom style="thick">
        <color theme="0"/>
      </bottom>
      <diagonal/>
    </border>
    <border>
      <left/>
      <right/>
      <top style="thin">
        <color theme="4"/>
      </top>
      <bottom style="thin">
        <color theme="4"/>
      </bottom>
      <diagonal/>
    </border>
    <border>
      <left style="medium">
        <color theme="4" tint="0.79998168889431442"/>
      </left>
      <right/>
      <top style="thin">
        <color theme="4"/>
      </top>
      <bottom style="thin">
        <color theme="4"/>
      </bottom>
      <diagonal/>
    </border>
    <border>
      <left style="hair">
        <color theme="1"/>
      </left>
      <right style="hair">
        <color theme="1"/>
      </right>
      <top/>
      <bottom/>
      <diagonal/>
    </border>
    <border>
      <left/>
      <right style="thin">
        <color theme="8"/>
      </right>
      <top style="thin">
        <color theme="8"/>
      </top>
      <bottom/>
      <diagonal/>
    </border>
    <border>
      <left/>
      <right style="thin">
        <color theme="8"/>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86">
    <xf numFmtId="3" fontId="0" fillId="0" borderId="0">
      <alignment horizontal="left" indent="1"/>
    </xf>
    <xf numFmtId="43" fontId="9" fillId="0" borderId="0" applyFont="0" applyFill="0" applyBorder="0" applyAlignment="0" applyProtection="0"/>
    <xf numFmtId="3" fontId="11" fillId="0" borderId="0" applyNumberFormat="0" applyFont="0" applyFill="0" applyBorder="0" applyProtection="0">
      <alignment horizontal="right" vertical="center" indent="1"/>
    </xf>
    <xf numFmtId="0" fontId="12" fillId="0" borderId="0" applyNumberFormat="0" applyProtection="0">
      <alignment horizontal="left" vertical="center"/>
    </xf>
    <xf numFmtId="0" fontId="13" fillId="0" borderId="0" applyNumberFormat="0" applyProtection="0">
      <alignment horizontal="left"/>
    </xf>
    <xf numFmtId="0" fontId="14" fillId="0" borderId="0" applyNumberFormat="0" applyAlignment="0" applyProtection="0">
      <alignment horizontal="left"/>
    </xf>
    <xf numFmtId="0" fontId="15" fillId="3" borderId="16" applyNumberFormat="0" applyProtection="0">
      <alignment horizontal="right"/>
    </xf>
    <xf numFmtId="3" fontId="16" fillId="0" borderId="0" applyProtection="0">
      <alignment horizontal="center" vertical="center"/>
    </xf>
    <xf numFmtId="3" fontId="17" fillId="0" borderId="17">
      <alignment horizontal="left"/>
    </xf>
    <xf numFmtId="0" fontId="2" fillId="0" borderId="0"/>
    <xf numFmtId="3" fontId="18" fillId="0" borderId="0" applyFill="0" applyBorder="0" applyProtection="0">
      <alignment vertical="center"/>
    </xf>
    <xf numFmtId="0" fontId="2" fillId="0" borderId="0"/>
    <xf numFmtId="0" fontId="10" fillId="0" borderId="0"/>
    <xf numFmtId="0" fontId="19" fillId="0" borderId="0" applyNumberFormat="0" applyFill="0" applyBorder="0" applyAlignment="0" applyProtection="0"/>
    <xf numFmtId="0" fontId="20" fillId="4" borderId="0" applyNumberFormat="0" applyBorder="0" applyAlignment="0" applyProtection="0"/>
    <xf numFmtId="0" fontId="1" fillId="0" borderId="0"/>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xf numFmtId="3" fontId="47" fillId="0" borderId="0" applyNumberFormat="0" applyFill="0" applyBorder="0" applyAlignment="0" applyProtection="0">
      <alignment horizontal="left" indent="1"/>
    </xf>
    <xf numFmtId="3" fontId="48" fillId="0" borderId="0" applyNumberFormat="0" applyFill="0" applyBorder="0" applyAlignment="0" applyProtection="0">
      <alignment horizontal="left" indent="1"/>
    </xf>
  </cellStyleXfs>
  <cellXfs count="461">
    <xf numFmtId="3" fontId="0" fillId="0" borderId="0" xfId="0">
      <alignment horizontal="left" indent="1"/>
    </xf>
    <xf numFmtId="3" fontId="0" fillId="0" borderId="0" xfId="0">
      <alignment horizontal="left" indent="1"/>
    </xf>
    <xf numFmtId="3" fontId="13" fillId="0" borderId="0" xfId="4" applyNumberFormat="1" applyAlignment="1">
      <alignment horizontal="left" vertical="center"/>
    </xf>
    <xf numFmtId="3" fontId="21" fillId="0" borderId="0" xfId="0" applyFont="1" applyBorder="1">
      <alignment horizontal="left" indent="1"/>
    </xf>
    <xf numFmtId="3" fontId="0" fillId="0" borderId="0" xfId="0" applyAlignment="1">
      <alignment horizontal="left"/>
    </xf>
    <xf numFmtId="3" fontId="0" fillId="0" borderId="0" xfId="0" applyAlignment="1">
      <alignment horizontal="center"/>
    </xf>
    <xf numFmtId="3" fontId="23" fillId="0" borderId="0" xfId="0" applyFont="1">
      <alignment horizontal="left" indent="1"/>
    </xf>
    <xf numFmtId="3" fontId="24" fillId="0" borderId="0" xfId="0" applyFont="1">
      <alignment horizontal="left" indent="1"/>
    </xf>
    <xf numFmtId="3" fontId="23" fillId="0" borderId="0" xfId="0" applyFont="1" applyAlignment="1">
      <alignment horizontal="left"/>
    </xf>
    <xf numFmtId="3" fontId="23" fillId="0" borderId="0" xfId="0" applyFont="1" applyBorder="1">
      <alignment horizontal="left" indent="1"/>
    </xf>
    <xf numFmtId="3" fontId="0" fillId="0" borderId="0" xfId="0" applyAlignment="1">
      <alignment horizontal="right" indent="1"/>
    </xf>
    <xf numFmtId="3" fontId="23" fillId="0" borderId="0" xfId="0" applyFont="1" applyAlignment="1">
      <alignment horizontal="right" indent="1"/>
    </xf>
    <xf numFmtId="3" fontId="24" fillId="0" borderId="0" xfId="0" applyFont="1" applyAlignment="1">
      <alignment horizontal="right" indent="1"/>
    </xf>
    <xf numFmtId="3" fontId="0" fillId="0" borderId="0" xfId="0" applyAlignment="1" applyProtection="1">
      <protection locked="0"/>
    </xf>
    <xf numFmtId="1" fontId="23" fillId="0" borderId="0" xfId="0" applyNumberFormat="1" applyFont="1" applyAlignment="1">
      <alignment horizontal="left"/>
    </xf>
    <xf numFmtId="3" fontId="26" fillId="0" borderId="0" xfId="0" applyFont="1">
      <alignment horizontal="left" indent="1"/>
    </xf>
    <xf numFmtId="3" fontId="0" fillId="5" borderId="0" xfId="0" applyFill="1" applyBorder="1">
      <alignment horizontal="left" indent="1"/>
    </xf>
    <xf numFmtId="3" fontId="24" fillId="0" borderId="0" xfId="0" applyFont="1" applyAlignment="1">
      <alignment horizontal="left"/>
    </xf>
    <xf numFmtId="3" fontId="27" fillId="0" borderId="0" xfId="0" applyNumberFormat="1" applyFont="1" applyFill="1" applyBorder="1">
      <alignment horizontal="left" indent="1"/>
    </xf>
    <xf numFmtId="3" fontId="21" fillId="0" borderId="0" xfId="0" applyFont="1" applyBorder="1" applyAlignment="1">
      <alignment horizontal="left"/>
    </xf>
    <xf numFmtId="3" fontId="2" fillId="0" borderId="0" xfId="0" applyFont="1" applyAlignment="1" applyProtection="1"/>
    <xf numFmtId="3" fontId="6" fillId="2" borderId="0" xfId="0" applyFont="1" applyFill="1" applyBorder="1" applyAlignment="1" applyProtection="1">
      <alignment horizontal="left"/>
    </xf>
    <xf numFmtId="3" fontId="4" fillId="0" borderId="0" xfId="0" applyFont="1" applyAlignment="1" applyProtection="1"/>
    <xf numFmtId="1" fontId="2" fillId="0" borderId="0" xfId="0" applyNumberFormat="1" applyFont="1" applyAlignment="1" applyProtection="1"/>
    <xf numFmtId="3" fontId="23" fillId="0" borderId="0" xfId="0" applyFont="1" applyProtection="1">
      <alignment horizontal="left" indent="1"/>
    </xf>
    <xf numFmtId="3" fontId="7" fillId="7" borderId="22" xfId="0" applyFont="1" applyFill="1" applyBorder="1" applyAlignment="1" applyProtection="1">
      <alignment horizontal="center"/>
      <protection locked="0"/>
    </xf>
    <xf numFmtId="3" fontId="7" fillId="7" borderId="24" xfId="0" applyFont="1" applyFill="1" applyBorder="1" applyAlignment="1" applyProtection="1">
      <alignment horizontal="center"/>
      <protection locked="0"/>
    </xf>
    <xf numFmtId="3" fontId="7" fillId="7" borderId="21" xfId="0" applyFont="1" applyFill="1" applyBorder="1" applyAlignment="1" applyProtection="1">
      <alignment horizontal="center"/>
      <protection locked="0"/>
    </xf>
    <xf numFmtId="3" fontId="7" fillId="8" borderId="22" xfId="0" applyFont="1" applyFill="1" applyBorder="1" applyAlignment="1" applyProtection="1">
      <alignment horizontal="center"/>
      <protection locked="0"/>
    </xf>
    <xf numFmtId="3" fontId="7" fillId="8" borderId="24" xfId="0" applyFont="1" applyFill="1" applyBorder="1" applyAlignment="1" applyProtection="1">
      <alignment horizontal="center"/>
      <protection locked="0"/>
    </xf>
    <xf numFmtId="3" fontId="7" fillId="8" borderId="21" xfId="0" applyFont="1" applyFill="1" applyBorder="1" applyAlignment="1" applyProtection="1">
      <alignment horizontal="center"/>
      <protection locked="0"/>
    </xf>
    <xf numFmtId="3" fontId="7" fillId="0" borderId="0" xfId="0" applyFont="1">
      <alignment horizontal="left" indent="1"/>
    </xf>
    <xf numFmtId="3" fontId="7" fillId="0" borderId="0" xfId="0" applyFont="1" applyFill="1">
      <alignment horizontal="left" indent="1"/>
    </xf>
    <xf numFmtId="3" fontId="32" fillId="0" borderId="0" xfId="0" applyFont="1" applyBorder="1" applyAlignment="1"/>
    <xf numFmtId="3" fontId="21" fillId="0" borderId="0" xfId="0" applyFont="1" applyAlignment="1">
      <alignment horizontal="left"/>
    </xf>
    <xf numFmtId="3" fontId="21" fillId="0" borderId="0" xfId="0" applyFont="1">
      <alignment horizontal="left" indent="1"/>
    </xf>
    <xf numFmtId="3" fontId="21" fillId="0" borderId="0" xfId="0" applyFont="1" applyFill="1">
      <alignment horizontal="left" indent="1"/>
    </xf>
    <xf numFmtId="0" fontId="23" fillId="0" borderId="0" xfId="0" applyNumberFormat="1" applyFont="1" applyAlignment="1">
      <alignment horizontal="left"/>
    </xf>
    <xf numFmtId="3" fontId="8" fillId="8" borderId="0" xfId="0" applyFont="1" applyFill="1">
      <alignment horizontal="left" indent="1"/>
    </xf>
    <xf numFmtId="3" fontId="7" fillId="8" borderId="0" xfId="0" applyFont="1" applyFill="1">
      <alignment horizontal="left" indent="1"/>
    </xf>
    <xf numFmtId="3" fontId="8" fillId="0" borderId="0" xfId="0" applyFont="1" applyAlignment="1">
      <alignment horizontal="left"/>
    </xf>
    <xf numFmtId="3" fontId="8" fillId="0" borderId="0" xfId="0" applyFont="1" applyAlignment="1">
      <alignment horizontal="center"/>
    </xf>
    <xf numFmtId="3" fontId="8" fillId="0" borderId="38" xfId="0" applyNumberFormat="1" applyFont="1" applyFill="1" applyBorder="1">
      <alignment horizontal="left" indent="1"/>
    </xf>
    <xf numFmtId="3" fontId="8" fillId="0" borderId="38" xfId="0" applyFont="1" applyFill="1" applyBorder="1">
      <alignment horizontal="left" indent="1"/>
    </xf>
    <xf numFmtId="3" fontId="7" fillId="7" borderId="39" xfId="0" applyFont="1" applyFill="1" applyBorder="1" applyAlignment="1" applyProtection="1">
      <alignment horizontal="left" indent="1"/>
      <protection locked="0"/>
    </xf>
    <xf numFmtId="3" fontId="8" fillId="0" borderId="0" xfId="0" applyFont="1" applyFill="1" applyBorder="1">
      <alignment horizontal="left" indent="1"/>
    </xf>
    <xf numFmtId="3" fontId="7" fillId="7" borderId="40" xfId="0" applyFont="1" applyFill="1" applyBorder="1" applyAlignment="1" applyProtection="1">
      <alignment horizontal="left" indent="1"/>
      <protection locked="0"/>
    </xf>
    <xf numFmtId="3" fontId="7" fillId="7" borderId="41" xfId="0" applyFont="1" applyFill="1" applyBorder="1" applyAlignment="1" applyProtection="1">
      <alignment horizontal="left" indent="1"/>
      <protection locked="0"/>
    </xf>
    <xf numFmtId="3" fontId="7" fillId="8" borderId="39" xfId="0" applyFont="1" applyFill="1" applyBorder="1" applyAlignment="1" applyProtection="1">
      <alignment horizontal="left" indent="1"/>
      <protection locked="0"/>
    </xf>
    <xf numFmtId="3" fontId="7" fillId="8" borderId="40" xfId="0" applyFont="1" applyFill="1" applyBorder="1" applyAlignment="1" applyProtection="1">
      <alignment horizontal="left" indent="1"/>
      <protection locked="0"/>
    </xf>
    <xf numFmtId="3" fontId="7" fillId="8" borderId="41" xfId="0" applyFont="1" applyFill="1" applyBorder="1" applyAlignment="1" applyProtection="1">
      <alignment horizontal="left" indent="1"/>
      <protection locked="0"/>
    </xf>
    <xf numFmtId="3" fontId="8" fillId="0" borderId="19" xfId="0" applyFont="1" applyFill="1" applyBorder="1">
      <alignment horizontal="left" indent="1"/>
    </xf>
    <xf numFmtId="3" fontId="8" fillId="12" borderId="42" xfId="0" applyFont="1" applyFill="1" applyBorder="1">
      <alignment horizontal="left" indent="1"/>
    </xf>
    <xf numFmtId="3" fontId="33" fillId="0" borderId="0" xfId="0" applyFont="1">
      <alignment horizontal="left" indent="1"/>
    </xf>
    <xf numFmtId="3" fontId="34" fillId="0" borderId="0" xfId="0" applyFont="1" applyAlignment="1">
      <alignment horizontal="left"/>
    </xf>
    <xf numFmtId="3" fontId="21" fillId="0" borderId="0" xfId="0" applyFont="1" applyAlignment="1">
      <alignment horizontal="center"/>
    </xf>
    <xf numFmtId="3" fontId="7" fillId="0" borderId="0" xfId="0" applyFont="1" applyProtection="1">
      <alignment horizontal="left" indent="1"/>
    </xf>
    <xf numFmtId="3" fontId="21" fillId="0" borderId="0" xfId="0" applyFont="1" applyProtection="1">
      <alignment horizontal="left" indent="1"/>
    </xf>
    <xf numFmtId="3" fontId="24" fillId="7" borderId="0" xfId="0" applyFont="1" applyFill="1" applyProtection="1">
      <alignment horizontal="left" indent="1"/>
    </xf>
    <xf numFmtId="3" fontId="24" fillId="0" borderId="0" xfId="0" applyFont="1" applyAlignment="1" applyProtection="1">
      <alignment horizontal="left"/>
    </xf>
    <xf numFmtId="3" fontId="25" fillId="0" borderId="38" xfId="0" applyNumberFormat="1" applyFont="1" applyFill="1" applyBorder="1" applyProtection="1">
      <alignment horizontal="left" indent="1"/>
    </xf>
    <xf numFmtId="3" fontId="27" fillId="5" borderId="0" xfId="0" applyNumberFormat="1" applyFont="1" applyFill="1" applyBorder="1" applyProtection="1">
      <alignment horizontal="left" indent="1"/>
    </xf>
    <xf numFmtId="3" fontId="25" fillId="0" borderId="43" xfId="0" applyNumberFormat="1" applyFont="1" applyFill="1" applyBorder="1" applyProtection="1">
      <alignment horizontal="left" indent="1"/>
    </xf>
    <xf numFmtId="3" fontId="27" fillId="0" borderId="0" xfId="0" applyNumberFormat="1" applyFont="1" applyFill="1" applyBorder="1" applyProtection="1">
      <alignment horizontal="left" indent="1"/>
    </xf>
    <xf numFmtId="3" fontId="27" fillId="0" borderId="19" xfId="0" applyNumberFormat="1" applyFont="1" applyFill="1" applyBorder="1" applyProtection="1">
      <alignment horizontal="left" indent="1"/>
    </xf>
    <xf numFmtId="3" fontId="24" fillId="12" borderId="42" xfId="0" applyFont="1" applyFill="1" applyBorder="1" applyProtection="1">
      <alignment horizontal="left" indent="1"/>
    </xf>
    <xf numFmtId="3" fontId="23" fillId="0" borderId="0" xfId="0" applyFont="1" applyAlignment="1" applyProtection="1">
      <alignment horizontal="center"/>
    </xf>
    <xf numFmtId="3" fontId="25" fillId="0" borderId="38" xfId="0" applyFont="1" applyFill="1" applyBorder="1" applyAlignment="1" applyProtection="1">
      <alignment horizontal="left"/>
    </xf>
    <xf numFmtId="3" fontId="25" fillId="0" borderId="0" xfId="0" applyFont="1" applyFill="1" applyBorder="1" applyAlignment="1" applyProtection="1">
      <alignment horizontal="left"/>
    </xf>
    <xf numFmtId="3" fontId="25" fillId="0" borderId="43" xfId="0" applyFont="1" applyFill="1" applyBorder="1" applyAlignment="1" applyProtection="1">
      <alignment horizontal="left"/>
    </xf>
    <xf numFmtId="3" fontId="25" fillId="0" borderId="19" xfId="0" applyFont="1" applyFill="1" applyBorder="1" applyAlignment="1" applyProtection="1">
      <alignment horizontal="left"/>
    </xf>
    <xf numFmtId="3" fontId="0" fillId="0" borderId="0" xfId="0" applyAlignment="1">
      <alignment horizontal="center"/>
    </xf>
    <xf numFmtId="1" fontId="23" fillId="0" borderId="0" xfId="0" applyNumberFormat="1" applyFont="1" applyAlignment="1">
      <alignment horizontal="center"/>
    </xf>
    <xf numFmtId="1" fontId="24" fillId="0" borderId="0" xfId="0" applyNumberFormat="1" applyFont="1" applyAlignment="1">
      <alignment horizontal="center"/>
    </xf>
    <xf numFmtId="1" fontId="35" fillId="7" borderId="44" xfId="0" applyNumberFormat="1" applyFont="1" applyFill="1" applyBorder="1" applyAlignment="1" applyProtection="1">
      <alignment horizontal="center"/>
      <protection locked="0"/>
    </xf>
    <xf numFmtId="0" fontId="35" fillId="0" borderId="0" xfId="0" applyNumberFormat="1" applyFont="1" applyFill="1" applyBorder="1" applyAlignment="1">
      <alignment horizontal="center"/>
    </xf>
    <xf numFmtId="0" fontId="35" fillId="8" borderId="43" xfId="0" applyNumberFormat="1" applyFont="1" applyFill="1" applyBorder="1" applyAlignment="1" applyProtection="1">
      <alignment horizontal="center"/>
      <protection locked="0"/>
    </xf>
    <xf numFmtId="0" fontId="35" fillId="0" borderId="19" xfId="0" applyNumberFormat="1" applyFont="1" applyFill="1" applyBorder="1" applyAlignment="1">
      <alignment horizontal="center"/>
    </xf>
    <xf numFmtId="1" fontId="24" fillId="12" borderId="42" xfId="0" applyNumberFormat="1" applyFont="1" applyFill="1" applyBorder="1" applyAlignment="1" applyProtection="1">
      <alignment horizontal="center"/>
    </xf>
    <xf numFmtId="3" fontId="23" fillId="12" borderId="0" xfId="0" applyFont="1" applyFill="1" applyProtection="1">
      <alignment horizontal="left" indent="1"/>
    </xf>
    <xf numFmtId="3" fontId="7" fillId="0" borderId="0" xfId="0" applyFont="1" applyFill="1" applyProtection="1">
      <alignment horizontal="left" indent="1"/>
    </xf>
    <xf numFmtId="3" fontId="36" fillId="13" borderId="0" xfId="0" applyFont="1" applyFill="1" applyAlignment="1">
      <alignment horizontal="left"/>
    </xf>
    <xf numFmtId="3" fontId="36" fillId="0" borderId="0" xfId="0" applyFont="1" applyAlignment="1">
      <alignment horizontal="left"/>
    </xf>
    <xf numFmtId="3" fontId="37" fillId="0" borderId="45" xfId="0" applyFont="1" applyBorder="1" applyAlignment="1">
      <alignment horizontal="left"/>
    </xf>
    <xf numFmtId="3" fontId="36" fillId="13" borderId="45" xfId="0" applyFont="1" applyFill="1" applyBorder="1" applyAlignment="1">
      <alignment horizontal="left"/>
    </xf>
    <xf numFmtId="3" fontId="26" fillId="0" borderId="46" xfId="0" applyFont="1" applyBorder="1" applyAlignment="1">
      <alignment horizontal="center"/>
    </xf>
    <xf numFmtId="3" fontId="26" fillId="0" borderId="45" xfId="0" applyFont="1" applyBorder="1" applyAlignment="1">
      <alignment horizontal="center"/>
    </xf>
    <xf numFmtId="3" fontId="36" fillId="13" borderId="46" xfId="0" applyFont="1" applyFill="1" applyBorder="1" applyAlignment="1">
      <alignment horizontal="center"/>
    </xf>
    <xf numFmtId="3" fontId="36" fillId="13" borderId="45" xfId="0" applyFont="1" applyFill="1" applyBorder="1" applyAlignment="1">
      <alignment horizontal="center"/>
    </xf>
    <xf numFmtId="3" fontId="36" fillId="0" borderId="3" xfId="0" applyFont="1" applyBorder="1" applyAlignment="1">
      <alignment horizontal="center"/>
    </xf>
    <xf numFmtId="3" fontId="36" fillId="0" borderId="0" xfId="0" applyFont="1" applyAlignment="1">
      <alignment horizontal="center"/>
    </xf>
    <xf numFmtId="3" fontId="36" fillId="13" borderId="3" xfId="0" applyFont="1" applyFill="1" applyBorder="1" applyAlignment="1">
      <alignment horizontal="center"/>
    </xf>
    <xf numFmtId="3" fontId="36" fillId="13" borderId="0" xfId="0" applyFont="1" applyFill="1" applyAlignment="1">
      <alignment horizontal="center"/>
    </xf>
    <xf numFmtId="3" fontId="38" fillId="12" borderId="42" xfId="0" applyFont="1" applyFill="1" applyBorder="1">
      <alignment horizontal="left" indent="1"/>
    </xf>
    <xf numFmtId="3" fontId="21" fillId="0" borderId="0" xfId="0" applyFont="1" applyAlignment="1" applyProtection="1"/>
    <xf numFmtId="3" fontId="21" fillId="0" borderId="0" xfId="0" applyFont="1" applyAlignment="1" applyProtection="1">
      <alignment horizontal="right"/>
    </xf>
    <xf numFmtId="3" fontId="22" fillId="0" borderId="0" xfId="0" applyFont="1" applyAlignment="1" applyProtection="1">
      <alignment horizontal="right"/>
    </xf>
    <xf numFmtId="3" fontId="21" fillId="6" borderId="47" xfId="0" applyFont="1" applyFill="1" applyBorder="1" applyProtection="1">
      <alignment horizontal="left" indent="1"/>
    </xf>
    <xf numFmtId="0" fontId="21" fillId="0" borderId="0" xfId="1" applyNumberFormat="1" applyFont="1" applyAlignment="1" applyProtection="1"/>
    <xf numFmtId="3" fontId="21" fillId="0" borderId="0" xfId="1" applyNumberFormat="1" applyFont="1" applyAlignment="1" applyProtection="1"/>
    <xf numFmtId="3" fontId="21" fillId="0" borderId="0" xfId="0" applyFont="1" applyAlignment="1" applyProtection="1">
      <alignment horizontal="center"/>
    </xf>
    <xf numFmtId="3" fontId="21" fillId="0" borderId="0" xfId="0" quotePrefix="1" applyFont="1">
      <alignment horizontal="left" indent="1"/>
    </xf>
    <xf numFmtId="3" fontId="26" fillId="0" borderId="50" xfId="0" applyFont="1" applyBorder="1" applyAlignment="1">
      <alignment horizontal="center"/>
    </xf>
    <xf numFmtId="3" fontId="36" fillId="13" borderId="50" xfId="0" applyFont="1" applyFill="1" applyBorder="1" applyAlignment="1">
      <alignment horizontal="center"/>
    </xf>
    <xf numFmtId="3" fontId="36" fillId="0" borderId="14" xfId="0" applyFont="1" applyBorder="1" applyAlignment="1">
      <alignment horizontal="center"/>
    </xf>
    <xf numFmtId="3" fontId="36" fillId="13" borderId="14" xfId="0" applyFont="1" applyFill="1" applyBorder="1" applyAlignment="1">
      <alignment horizontal="center"/>
    </xf>
    <xf numFmtId="3" fontId="36" fillId="0" borderId="10" xfId="0" applyFont="1" applyBorder="1" applyAlignment="1">
      <alignment horizontal="left"/>
    </xf>
    <xf numFmtId="3" fontId="36" fillId="0" borderId="9" xfId="0" applyFont="1" applyBorder="1" applyAlignment="1">
      <alignment horizontal="center"/>
    </xf>
    <xf numFmtId="3" fontId="36" fillId="0" borderId="10" xfId="0" applyFont="1" applyBorder="1" applyAlignment="1">
      <alignment horizontal="center"/>
    </xf>
    <xf numFmtId="3" fontId="36" fillId="0" borderId="15" xfId="0" applyFont="1" applyBorder="1" applyAlignment="1">
      <alignment horizontal="center"/>
    </xf>
    <xf numFmtId="3" fontId="36" fillId="13" borderId="10" xfId="0" applyFont="1" applyFill="1" applyBorder="1" applyAlignment="1">
      <alignment horizontal="left"/>
    </xf>
    <xf numFmtId="3" fontId="36" fillId="13" borderId="9" xfId="0" applyFont="1" applyFill="1" applyBorder="1" applyAlignment="1">
      <alignment horizontal="center"/>
    </xf>
    <xf numFmtId="3" fontId="36" fillId="13" borderId="10" xfId="0" applyFont="1" applyFill="1" applyBorder="1" applyAlignment="1">
      <alignment horizontal="center"/>
    </xf>
    <xf numFmtId="3" fontId="36" fillId="13" borderId="15" xfId="0" applyFont="1" applyFill="1" applyBorder="1" applyAlignment="1">
      <alignment horizontal="center"/>
    </xf>
    <xf numFmtId="3" fontId="26" fillId="0" borderId="0" xfId="0" applyFont="1" applyAlignment="1">
      <alignment horizontal="left" indent="1"/>
    </xf>
    <xf numFmtId="3" fontId="37" fillId="0" borderId="45" xfId="0" applyFont="1" applyBorder="1" applyAlignment="1">
      <alignment horizontal="left" indent="1"/>
    </xf>
    <xf numFmtId="3" fontId="36" fillId="13" borderId="45" xfId="0" applyFont="1" applyFill="1" applyBorder="1" applyAlignment="1">
      <alignment horizontal="left" indent="1"/>
    </xf>
    <xf numFmtId="3" fontId="36" fillId="0" borderId="0" xfId="0" applyFont="1" applyAlignment="1">
      <alignment horizontal="left" indent="1"/>
    </xf>
    <xf numFmtId="3" fontId="36" fillId="13" borderId="0" xfId="0" applyFont="1" applyFill="1" applyAlignment="1">
      <alignment horizontal="left" indent="1"/>
    </xf>
    <xf numFmtId="3" fontId="36" fillId="0" borderId="10" xfId="0" applyFont="1" applyBorder="1" applyAlignment="1">
      <alignment horizontal="left" indent="1"/>
    </xf>
    <xf numFmtId="3" fontId="0" fillId="0" borderId="0" xfId="0" applyAlignment="1">
      <alignment horizontal="left" indent="1"/>
    </xf>
    <xf numFmtId="3" fontId="36" fillId="13" borderId="10" xfId="0" applyFont="1" applyFill="1" applyBorder="1" applyAlignment="1">
      <alignment horizontal="left" indent="1"/>
    </xf>
    <xf numFmtId="3" fontId="23" fillId="0" borderId="0" xfId="0" applyFont="1" applyProtection="1">
      <alignment horizontal="left" indent="1"/>
      <protection locked="0"/>
    </xf>
    <xf numFmtId="3" fontId="0" fillId="0" borderId="0" xfId="0" applyAlignment="1" applyProtection="1">
      <alignment horizontal="left"/>
      <protection locked="0"/>
    </xf>
    <xf numFmtId="164" fontId="0" fillId="0" borderId="7" xfId="0" applyNumberFormat="1" applyBorder="1" applyAlignment="1" applyProtection="1">
      <alignment horizontal="center"/>
    </xf>
    <xf numFmtId="164" fontId="0" fillId="0" borderId="2" xfId="0" applyNumberFormat="1" applyBorder="1" applyAlignment="1" applyProtection="1">
      <alignment horizontal="center"/>
    </xf>
    <xf numFmtId="164" fontId="0" fillId="0" borderId="1" xfId="0" applyNumberFormat="1" applyBorder="1" applyAlignment="1" applyProtection="1">
      <alignment horizontal="center"/>
    </xf>
    <xf numFmtId="164" fontId="0" fillId="0" borderId="0" xfId="0" applyNumberFormat="1" applyBorder="1" applyAlignment="1" applyProtection="1">
      <alignment horizontal="center"/>
    </xf>
    <xf numFmtId="164" fontId="0" fillId="0" borderId="4" xfId="0" applyNumberFormat="1" applyBorder="1" applyAlignment="1" applyProtection="1">
      <alignment horizontal="center"/>
    </xf>
    <xf numFmtId="164" fontId="0" fillId="0" borderId="3" xfId="0" applyNumberFormat="1" applyBorder="1" applyAlignment="1" applyProtection="1">
      <alignment horizontal="center"/>
    </xf>
    <xf numFmtId="164" fontId="5" fillId="0" borderId="8" xfId="0" applyNumberFormat="1" applyFont="1" applyBorder="1" applyAlignment="1" applyProtection="1">
      <alignment horizontal="center"/>
    </xf>
    <xf numFmtId="164" fontId="5" fillId="0" borderId="6" xfId="0" applyNumberFormat="1" applyFont="1" applyBorder="1" applyAlignment="1" applyProtection="1">
      <alignment horizontal="center"/>
    </xf>
    <xf numFmtId="164" fontId="5" fillId="0" borderId="5" xfId="0" applyNumberFormat="1" applyFont="1" applyBorder="1" applyAlignment="1" applyProtection="1">
      <alignment horizontal="center"/>
    </xf>
    <xf numFmtId="164" fontId="5" fillId="0" borderId="3" xfId="0" applyNumberFormat="1" applyFont="1" applyBorder="1" applyAlignment="1" applyProtection="1">
      <alignment horizontal="center"/>
    </xf>
    <xf numFmtId="164" fontId="5" fillId="0" borderId="4" xfId="0" applyNumberFormat="1" applyFont="1" applyBorder="1" applyAlignment="1" applyProtection="1">
      <alignment horizontal="center"/>
    </xf>
    <xf numFmtId="164" fontId="5" fillId="0" borderId="0" xfId="0" applyNumberFormat="1" applyFont="1" applyBorder="1" applyAlignment="1" applyProtection="1">
      <alignment horizontal="center"/>
    </xf>
    <xf numFmtId="164" fontId="0" fillId="0" borderId="0" xfId="0" applyNumberFormat="1">
      <alignment horizontal="left" indent="1"/>
    </xf>
    <xf numFmtId="164" fontId="23" fillId="0" borderId="0" xfId="0" applyNumberFormat="1" applyFont="1">
      <alignment horizontal="left" indent="1"/>
    </xf>
    <xf numFmtId="0" fontId="26" fillId="0" borderId="0" xfId="0" applyNumberFormat="1" applyFont="1">
      <alignment horizontal="left" indent="1"/>
    </xf>
    <xf numFmtId="0" fontId="24" fillId="0" borderId="0" xfId="0" applyNumberFormat="1" applyFont="1">
      <alignment horizontal="left" indent="1"/>
    </xf>
    <xf numFmtId="3" fontId="29" fillId="10" borderId="27" xfId="6" applyNumberFormat="1" applyFont="1" applyFill="1" applyBorder="1" applyAlignment="1">
      <alignment horizontal="left"/>
    </xf>
    <xf numFmtId="3" fontId="17" fillId="0" borderId="17" xfId="8" applyFont="1" applyAlignment="1">
      <alignment horizontal="left"/>
    </xf>
    <xf numFmtId="3" fontId="29" fillId="11" borderId="16" xfId="6" applyNumberFormat="1" applyFont="1" applyFill="1" applyAlignment="1" applyProtection="1">
      <alignment horizontal="left"/>
      <protection locked="0"/>
    </xf>
    <xf numFmtId="3" fontId="22" fillId="0" borderId="18" xfId="0" applyFont="1" applyBorder="1" applyAlignment="1">
      <alignment horizontal="left"/>
    </xf>
    <xf numFmtId="3" fontId="0" fillId="0" borderId="0" xfId="0" applyAlignment="1" applyProtection="1">
      <alignment horizontal="center"/>
      <protection locked="0"/>
    </xf>
    <xf numFmtId="3" fontId="24" fillId="0" borderId="0" xfId="0" applyFont="1" applyAlignment="1">
      <alignment horizontal="left"/>
    </xf>
    <xf numFmtId="3" fontId="23" fillId="0" borderId="0" xfId="0" applyFont="1" applyAlignment="1">
      <alignment horizontal="left"/>
    </xf>
    <xf numFmtId="3" fontId="0" fillId="0" borderId="0" xfId="0" applyAlignment="1">
      <alignment horizontal="center"/>
    </xf>
    <xf numFmtId="164" fontId="2" fillId="0" borderId="0" xfId="0" applyNumberFormat="1" applyFont="1" applyAlignment="1" applyProtection="1"/>
    <xf numFmtId="165" fontId="21" fillId="14" borderId="0" xfId="1" applyNumberFormat="1" applyFont="1" applyFill="1" applyBorder="1" applyAlignment="1" applyProtection="1">
      <alignment horizontal="right"/>
    </xf>
    <xf numFmtId="3" fontId="0" fillId="0" borderId="0" xfId="0" applyAlignment="1" applyProtection="1">
      <alignment horizontal="right" indent="1"/>
    </xf>
    <xf numFmtId="3" fontId="0" fillId="0" borderId="0" xfId="0" applyProtection="1">
      <alignment horizontal="left" indent="1"/>
    </xf>
    <xf numFmtId="0" fontId="26" fillId="0" borderId="0" xfId="0" applyNumberFormat="1" applyFont="1" applyProtection="1">
      <alignment horizontal="left" indent="1"/>
    </xf>
    <xf numFmtId="3" fontId="51" fillId="0" borderId="0" xfId="0" applyFont="1" applyProtection="1">
      <alignment horizontal="left" indent="1"/>
    </xf>
    <xf numFmtId="3" fontId="26" fillId="0" borderId="0" xfId="0" applyFont="1" applyProtection="1">
      <alignment horizontal="left" indent="1"/>
    </xf>
    <xf numFmtId="164" fontId="0" fillId="0" borderId="0" xfId="0" applyNumberFormat="1" applyProtection="1">
      <alignment horizontal="left" indent="1"/>
    </xf>
    <xf numFmtId="3" fontId="17" fillId="0" borderId="0" xfId="0" applyFont="1" applyAlignment="1" applyProtection="1">
      <alignment horizontal="left"/>
    </xf>
    <xf numFmtId="3" fontId="17" fillId="0" borderId="0" xfId="0" applyFont="1" applyAlignment="1" applyProtection="1">
      <alignment horizontal="center"/>
    </xf>
    <xf numFmtId="3" fontId="0" fillId="0" borderId="0" xfId="0" applyAlignment="1" applyProtection="1">
      <alignment horizontal="left"/>
    </xf>
    <xf numFmtId="3" fontId="0" fillId="0" borderId="0" xfId="0" applyAlignment="1" applyProtection="1">
      <alignment horizontal="center"/>
    </xf>
    <xf numFmtId="3" fontId="0" fillId="0" borderId="0" xfId="0" applyAlignment="1" applyProtection="1"/>
    <xf numFmtId="3" fontId="0" fillId="0" borderId="0" xfId="0" applyAlignment="1" applyProtection="1">
      <alignment horizontal="right"/>
    </xf>
    <xf numFmtId="3" fontId="28" fillId="6" borderId="20" xfId="0" applyFont="1" applyFill="1" applyBorder="1" applyProtection="1">
      <alignment horizontal="left" indent="1"/>
    </xf>
    <xf numFmtId="3" fontId="30" fillId="7" borderId="32" xfId="0" applyFont="1" applyFill="1" applyBorder="1" applyAlignment="1" applyProtection="1">
      <alignment horizontal="center"/>
    </xf>
    <xf numFmtId="3" fontId="30" fillId="7" borderId="30" xfId="0" applyFont="1" applyFill="1" applyBorder="1" applyAlignment="1" applyProtection="1">
      <alignment horizontal="center"/>
    </xf>
    <xf numFmtId="1" fontId="30" fillId="7" borderId="31" xfId="0" applyNumberFormat="1" applyFont="1" applyFill="1" applyBorder="1" applyAlignment="1" applyProtection="1">
      <alignment horizontal="left"/>
    </xf>
    <xf numFmtId="0" fontId="31" fillId="7" borderId="32" xfId="0" applyNumberFormat="1" applyFont="1" applyFill="1" applyBorder="1" applyAlignment="1" applyProtection="1">
      <alignment horizontal="right"/>
    </xf>
    <xf numFmtId="3" fontId="31" fillId="7" borderId="30" xfId="0" quotePrefix="1" applyFont="1" applyFill="1" applyBorder="1" applyAlignment="1" applyProtection="1">
      <alignment horizontal="right"/>
    </xf>
    <xf numFmtId="3" fontId="31" fillId="7" borderId="30" xfId="0" applyFont="1" applyFill="1" applyBorder="1" applyAlignment="1" applyProtection="1">
      <alignment horizontal="center"/>
    </xf>
    <xf numFmtId="3" fontId="31" fillId="7" borderId="30" xfId="0" quotePrefix="1" applyFont="1" applyFill="1" applyBorder="1" applyAlignment="1" applyProtection="1">
      <alignment horizontal="left"/>
    </xf>
    <xf numFmtId="3" fontId="31" fillId="7" borderId="31" xfId="0" applyFont="1" applyFill="1" applyBorder="1" applyAlignment="1" applyProtection="1">
      <alignment horizontal="left"/>
    </xf>
    <xf numFmtId="3" fontId="0" fillId="5" borderId="0" xfId="0" applyFill="1" applyBorder="1" applyProtection="1">
      <alignment horizontal="left" indent="1"/>
    </xf>
    <xf numFmtId="3" fontId="30" fillId="7" borderId="36" xfId="0" applyFont="1" applyFill="1" applyBorder="1" applyAlignment="1" applyProtection="1">
      <alignment horizontal="center"/>
    </xf>
    <xf numFmtId="3" fontId="30" fillId="7" borderId="0" xfId="0" applyFont="1" applyFill="1" applyBorder="1" applyAlignment="1" applyProtection="1">
      <alignment horizontal="center"/>
    </xf>
    <xf numFmtId="3" fontId="30" fillId="7" borderId="33" xfId="0" applyFont="1" applyFill="1" applyBorder="1" applyAlignment="1" applyProtection="1">
      <alignment horizontal="center"/>
    </xf>
    <xf numFmtId="0" fontId="30" fillId="7" borderId="36" xfId="0" applyNumberFormat="1" applyFont="1" applyFill="1" applyBorder="1" applyAlignment="1" applyProtection="1">
      <alignment horizontal="center"/>
    </xf>
    <xf numFmtId="3" fontId="30" fillId="7" borderId="0" xfId="0" applyFont="1" applyFill="1" applyBorder="1" applyAlignment="1" applyProtection="1">
      <alignment horizontal="left"/>
    </xf>
    <xf numFmtId="3" fontId="30" fillId="7" borderId="33" xfId="0" applyFont="1" applyFill="1" applyBorder="1" applyAlignment="1" applyProtection="1">
      <alignment horizontal="left"/>
    </xf>
    <xf numFmtId="166" fontId="30" fillId="7" borderId="34" xfId="0" applyNumberFormat="1" applyFont="1" applyFill="1" applyBorder="1" applyAlignment="1" applyProtection="1">
      <alignment horizontal="right"/>
    </xf>
    <xf numFmtId="166" fontId="30" fillId="7" borderId="35" xfId="0" applyNumberFormat="1" applyFont="1" applyFill="1" applyBorder="1" applyAlignment="1" applyProtection="1">
      <alignment horizontal="center"/>
    </xf>
    <xf numFmtId="166" fontId="30" fillId="7" borderId="37" xfId="0" applyNumberFormat="1" applyFont="1" applyFill="1" applyBorder="1" applyAlignment="1" applyProtection="1">
      <alignment horizontal="left"/>
    </xf>
    <xf numFmtId="43" fontId="30" fillId="7" borderId="34" xfId="1" quotePrefix="1" applyFont="1" applyFill="1" applyBorder="1" applyAlignment="1" applyProtection="1">
      <alignment horizontal="right"/>
    </xf>
    <xf numFmtId="0" fontId="30" fillId="7" borderId="35" xfId="0" applyNumberFormat="1" applyFont="1" applyFill="1" applyBorder="1" applyProtection="1">
      <alignment horizontal="left" indent="1"/>
    </xf>
    <xf numFmtId="43" fontId="30" fillId="7" borderId="35" xfId="1" quotePrefix="1" applyFont="1" applyFill="1" applyBorder="1" applyAlignment="1" applyProtection="1">
      <alignment horizontal="center"/>
    </xf>
    <xf numFmtId="0" fontId="30" fillId="7" borderId="35" xfId="0" applyNumberFormat="1" applyFont="1" applyFill="1" applyBorder="1" applyAlignment="1" applyProtection="1">
      <alignment horizontal="left"/>
    </xf>
    <xf numFmtId="166" fontId="30" fillId="7" borderId="37" xfId="0" quotePrefix="1" applyNumberFormat="1" applyFont="1" applyFill="1" applyBorder="1" applyAlignment="1" applyProtection="1">
      <alignment horizontal="left"/>
    </xf>
    <xf numFmtId="3" fontId="30" fillId="8" borderId="32" xfId="0" applyFont="1" applyFill="1" applyBorder="1" applyAlignment="1" applyProtection="1">
      <alignment horizontal="center"/>
    </xf>
    <xf numFmtId="3" fontId="30" fillId="8" borderId="30" xfId="0" applyFont="1" applyFill="1" applyBorder="1" applyAlignment="1" applyProtection="1">
      <alignment horizontal="center"/>
    </xf>
    <xf numFmtId="1" fontId="30" fillId="8" borderId="31" xfId="0" applyNumberFormat="1" applyFont="1" applyFill="1" applyBorder="1" applyAlignment="1" applyProtection="1">
      <alignment horizontal="left"/>
    </xf>
    <xf numFmtId="0" fontId="31" fillId="8" borderId="32" xfId="0" applyNumberFormat="1" applyFont="1" applyFill="1" applyBorder="1" applyAlignment="1" applyProtection="1">
      <alignment horizontal="right"/>
    </xf>
    <xf numFmtId="3" fontId="31" fillId="8" borderId="30" xfId="0" quotePrefix="1" applyFont="1" applyFill="1" applyBorder="1" applyAlignment="1" applyProtection="1">
      <alignment horizontal="right"/>
    </xf>
    <xf numFmtId="3" fontId="31" fillId="8" borderId="30" xfId="0" applyFont="1" applyFill="1" applyBorder="1" applyAlignment="1" applyProtection="1">
      <alignment horizontal="center"/>
    </xf>
    <xf numFmtId="3" fontId="31" fillId="8" borderId="30" xfId="0" quotePrefix="1" applyFont="1" applyFill="1" applyBorder="1" applyAlignment="1" applyProtection="1">
      <alignment horizontal="left"/>
    </xf>
    <xf numFmtId="3" fontId="31" fillId="8" borderId="31" xfId="0" applyFont="1" applyFill="1" applyBorder="1" applyAlignment="1" applyProtection="1">
      <alignment horizontal="left"/>
    </xf>
    <xf numFmtId="3" fontId="30" fillId="8" borderId="36" xfId="0" applyFont="1" applyFill="1" applyBorder="1" applyAlignment="1" applyProtection="1">
      <alignment horizontal="center"/>
    </xf>
    <xf numFmtId="3" fontId="30" fillId="8" borderId="0" xfId="0" applyFont="1" applyFill="1" applyBorder="1" applyAlignment="1" applyProtection="1">
      <alignment horizontal="center"/>
    </xf>
    <xf numFmtId="3" fontId="30" fillId="8" borderId="33" xfId="0" applyFont="1" applyFill="1" applyBorder="1" applyAlignment="1" applyProtection="1">
      <alignment horizontal="center"/>
    </xf>
    <xf numFmtId="0" fontId="30" fillId="8" borderId="36" xfId="0" applyNumberFormat="1" applyFont="1" applyFill="1" applyBorder="1" applyAlignment="1" applyProtection="1">
      <alignment horizontal="center"/>
    </xf>
    <xf numFmtId="3" fontId="30" fillId="8" borderId="0" xfId="0" applyFont="1" applyFill="1" applyBorder="1" applyAlignment="1" applyProtection="1">
      <alignment horizontal="left"/>
    </xf>
    <xf numFmtId="3" fontId="30" fillId="8" borderId="33" xfId="0" applyFont="1" applyFill="1" applyBorder="1" applyAlignment="1" applyProtection="1">
      <alignment horizontal="left"/>
    </xf>
    <xf numFmtId="166" fontId="30" fillId="8" borderId="34" xfId="0" applyNumberFormat="1" applyFont="1" applyFill="1" applyBorder="1" applyAlignment="1" applyProtection="1">
      <alignment horizontal="right"/>
    </xf>
    <xf numFmtId="166" fontId="30" fillId="8" borderId="35" xfId="0" applyNumberFormat="1" applyFont="1" applyFill="1" applyBorder="1" applyAlignment="1" applyProtection="1">
      <alignment horizontal="center"/>
    </xf>
    <xf numFmtId="166" fontId="30" fillId="8" borderId="37" xfId="0" applyNumberFormat="1" applyFont="1" applyFill="1" applyBorder="1" applyAlignment="1" applyProtection="1">
      <alignment horizontal="left"/>
    </xf>
    <xf numFmtId="43" fontId="30" fillId="8" borderId="34" xfId="1" quotePrefix="1" applyFont="1" applyFill="1" applyBorder="1" applyAlignment="1" applyProtection="1">
      <alignment horizontal="right"/>
    </xf>
    <xf numFmtId="0" fontId="30" fillId="8" borderId="35" xfId="0" applyNumberFormat="1" applyFont="1" applyFill="1" applyBorder="1" applyProtection="1">
      <alignment horizontal="left" indent="1"/>
    </xf>
    <xf numFmtId="43" fontId="30" fillId="8" borderId="35" xfId="1" quotePrefix="1" applyFont="1" applyFill="1" applyBorder="1" applyAlignment="1" applyProtection="1">
      <alignment horizontal="center"/>
    </xf>
    <xf numFmtId="0" fontId="30" fillId="8" borderId="35" xfId="0" applyNumberFormat="1" applyFont="1" applyFill="1" applyBorder="1" applyAlignment="1" applyProtection="1">
      <alignment horizontal="left"/>
    </xf>
    <xf numFmtId="166" fontId="30" fillId="8" borderId="37" xfId="0" quotePrefix="1" applyNumberFormat="1" applyFont="1" applyFill="1" applyBorder="1" applyAlignment="1" applyProtection="1">
      <alignment horizontal="left"/>
    </xf>
    <xf numFmtId="3" fontId="52" fillId="0" borderId="0" xfId="0" applyFont="1" applyProtection="1">
      <alignment horizontal="left" indent="1"/>
      <protection locked="0"/>
    </xf>
    <xf numFmtId="3" fontId="53" fillId="0" borderId="0" xfId="0" applyFont="1" applyProtection="1">
      <alignment horizontal="left" indent="1"/>
      <protection locked="0"/>
    </xf>
    <xf numFmtId="3" fontId="53" fillId="0" borderId="0" xfId="0" applyFont="1" applyAlignment="1" applyProtection="1">
      <alignment horizontal="right" indent="1"/>
      <protection locked="0"/>
    </xf>
    <xf numFmtId="0" fontId="52" fillId="0" borderId="0" xfId="0" applyNumberFormat="1" applyFont="1" applyProtection="1">
      <alignment horizontal="left" indent="1"/>
      <protection locked="0"/>
    </xf>
    <xf numFmtId="164" fontId="23" fillId="0" borderId="0" xfId="0" applyNumberFormat="1" applyFont="1" applyProtection="1">
      <alignment horizontal="left" indent="1"/>
    </xf>
    <xf numFmtId="3" fontId="52" fillId="0" borderId="0" xfId="0" applyFont="1" applyAlignment="1" applyProtection="1">
      <alignment horizontal="left"/>
    </xf>
    <xf numFmtId="3" fontId="53" fillId="0" borderId="0" xfId="0" applyFont="1" applyAlignment="1" applyProtection="1">
      <alignment horizontal="left"/>
    </xf>
    <xf numFmtId="0" fontId="52" fillId="0" borderId="0" xfId="0" applyNumberFormat="1" applyFont="1" applyAlignment="1" applyProtection="1">
      <alignment horizontal="left"/>
    </xf>
    <xf numFmtId="3" fontId="17" fillId="0" borderId="17" xfId="8" applyFont="1" applyAlignment="1" applyProtection="1">
      <alignment horizontal="left"/>
    </xf>
    <xf numFmtId="3" fontId="53" fillId="0" borderId="0" xfId="0" applyFont="1" applyFill="1" applyBorder="1" applyAlignment="1">
      <alignment horizontal="left"/>
    </xf>
    <xf numFmtId="3" fontId="53" fillId="0" borderId="0" xfId="0" applyFont="1" applyAlignment="1">
      <alignment horizontal="left"/>
    </xf>
    <xf numFmtId="0" fontId="52" fillId="0" borderId="0" xfId="0" applyNumberFormat="1" applyFont="1" applyAlignment="1">
      <alignment horizontal="left"/>
    </xf>
    <xf numFmtId="3" fontId="52" fillId="0" borderId="0" xfId="0" applyFont="1" applyAlignment="1">
      <alignment horizontal="left"/>
    </xf>
    <xf numFmtId="3" fontId="53" fillId="0" borderId="0" xfId="0" applyFont="1">
      <alignment horizontal="left" indent="1"/>
    </xf>
    <xf numFmtId="3" fontId="53" fillId="0" borderId="0" xfId="0" applyFont="1" applyAlignment="1">
      <alignment horizontal="right" indent="1"/>
    </xf>
    <xf numFmtId="0" fontId="52" fillId="0" borderId="0" xfId="0" applyNumberFormat="1" applyFont="1">
      <alignment horizontal="left" indent="1"/>
    </xf>
    <xf numFmtId="3" fontId="52" fillId="0" borderId="0" xfId="0" applyFont="1">
      <alignment horizontal="left" indent="1"/>
    </xf>
    <xf numFmtId="3" fontId="23" fillId="0" borderId="0" xfId="0" applyFont="1" applyAlignment="1" applyProtection="1">
      <alignment horizontal="right" indent="1"/>
    </xf>
    <xf numFmtId="0" fontId="24" fillId="0" borderId="0" xfId="0" applyNumberFormat="1" applyFont="1" applyProtection="1">
      <alignment horizontal="left" indent="1"/>
    </xf>
    <xf numFmtId="3" fontId="24" fillId="0" borderId="0" xfId="0" applyFont="1" applyProtection="1">
      <alignment horizontal="left" indent="1"/>
    </xf>
    <xf numFmtId="3" fontId="21" fillId="0" borderId="0" xfId="0" applyFont="1" applyAlignment="1" applyProtection="1">
      <alignment horizontal="left"/>
    </xf>
    <xf numFmtId="43" fontId="23" fillId="5" borderId="35" xfId="1" quotePrefix="1" applyFont="1" applyFill="1" applyBorder="1" applyAlignment="1" applyProtection="1">
      <alignment horizontal="center"/>
    </xf>
    <xf numFmtId="3" fontId="46" fillId="0" borderId="0" xfId="0" applyFont="1" applyAlignment="1">
      <alignment horizontal="center"/>
    </xf>
    <xf numFmtId="3" fontId="46" fillId="0" borderId="0" xfId="0" applyFont="1" applyBorder="1" applyAlignment="1">
      <alignment horizontal="left"/>
    </xf>
    <xf numFmtId="3" fontId="54" fillId="0" borderId="0" xfId="0" applyFont="1" applyBorder="1" applyAlignment="1"/>
    <xf numFmtId="3" fontId="22" fillId="0" borderId="0" xfId="0" applyFont="1" applyBorder="1">
      <alignment horizontal="left" indent="1"/>
    </xf>
    <xf numFmtId="3" fontId="22" fillId="0" borderId="18" xfId="0" applyFont="1" applyBorder="1">
      <alignment horizontal="left" indent="1"/>
    </xf>
    <xf numFmtId="3" fontId="56" fillId="0" borderId="0" xfId="0" applyFont="1" applyAlignment="1">
      <alignment horizontal="left" indent="1"/>
    </xf>
    <xf numFmtId="3" fontId="56" fillId="0" borderId="0" xfId="0" applyFont="1" applyAlignment="1">
      <alignment horizontal="left"/>
    </xf>
    <xf numFmtId="3" fontId="46" fillId="0" borderId="0" xfId="0" applyFont="1" applyAlignment="1">
      <alignment horizontal="left" indent="1"/>
    </xf>
    <xf numFmtId="3" fontId="8" fillId="0" borderId="0" xfId="0" applyFont="1">
      <alignment horizontal="left" indent="1"/>
    </xf>
    <xf numFmtId="3" fontId="29" fillId="10" borderId="16" xfId="6" applyNumberFormat="1" applyFont="1" applyFill="1" applyAlignment="1" applyProtection="1">
      <alignment horizontal="left"/>
      <protection locked="0"/>
    </xf>
    <xf numFmtId="3" fontId="23" fillId="0" borderId="0" xfId="0" applyFont="1" applyAlignment="1">
      <alignment horizontal="center"/>
    </xf>
    <xf numFmtId="3" fontId="24" fillId="0" borderId="0" xfId="0" applyFont="1" applyAlignment="1">
      <alignment horizontal="center"/>
    </xf>
    <xf numFmtId="3" fontId="7" fillId="7" borderId="23" xfId="0" applyFont="1" applyFill="1" applyBorder="1" applyAlignment="1" applyProtection="1">
      <alignment horizontal="center"/>
      <protection locked="0"/>
    </xf>
    <xf numFmtId="3" fontId="7" fillId="7" borderId="25" xfId="0" applyFont="1" applyFill="1" applyBorder="1" applyAlignment="1" applyProtection="1">
      <alignment horizontal="center"/>
      <protection locked="0"/>
    </xf>
    <xf numFmtId="3" fontId="7" fillId="7" borderId="26" xfId="0" applyFont="1" applyFill="1" applyBorder="1" applyAlignment="1" applyProtection="1">
      <alignment horizontal="center"/>
      <protection locked="0"/>
    </xf>
    <xf numFmtId="3" fontId="7" fillId="8" borderId="23" xfId="0" applyFont="1" applyFill="1" applyBorder="1" applyAlignment="1" applyProtection="1">
      <alignment horizontal="center"/>
      <protection locked="0"/>
    </xf>
    <xf numFmtId="3" fontId="7" fillId="8" borderId="25" xfId="0" applyFont="1" applyFill="1" applyBorder="1" applyAlignment="1" applyProtection="1">
      <alignment horizontal="center"/>
      <protection locked="0"/>
    </xf>
    <xf numFmtId="3" fontId="7" fillId="8" borderId="26" xfId="0" applyFont="1" applyFill="1" applyBorder="1" applyAlignment="1" applyProtection="1">
      <alignment horizontal="center"/>
      <protection locked="0"/>
    </xf>
    <xf numFmtId="3" fontId="23" fillId="12" borderId="0" xfId="0" applyFont="1" applyFill="1" applyAlignment="1" applyProtection="1">
      <alignment horizontal="center"/>
    </xf>
    <xf numFmtId="3" fontId="22" fillId="0" borderId="57" xfId="0" applyFont="1" applyBorder="1">
      <alignment horizontal="left" indent="1"/>
    </xf>
    <xf numFmtId="3" fontId="22" fillId="0" borderId="58" xfId="0" applyFont="1" applyBorder="1">
      <alignment horizontal="left" indent="1"/>
    </xf>
    <xf numFmtId="3" fontId="22" fillId="0" borderId="58" xfId="0" applyFont="1" applyBorder="1" applyAlignment="1">
      <alignment horizontal="left"/>
    </xf>
    <xf numFmtId="3" fontId="22" fillId="0" borderId="57" xfId="0" applyFont="1" applyBorder="1" applyAlignment="1">
      <alignment horizontal="left"/>
    </xf>
    <xf numFmtId="43" fontId="23" fillId="5" borderId="35" xfId="1" quotePrefix="1" applyFont="1" applyFill="1" applyBorder="1" applyAlignment="1">
      <alignment horizontal="center"/>
    </xf>
    <xf numFmtId="43" fontId="23" fillId="5" borderId="35" xfId="1" quotePrefix="1" applyFont="1" applyFill="1" applyBorder="1" applyAlignment="1">
      <alignment horizontal="left"/>
    </xf>
    <xf numFmtId="43" fontId="24" fillId="5" borderId="35" xfId="1" quotePrefix="1" applyFont="1" applyFill="1" applyBorder="1" applyAlignment="1">
      <alignment horizontal="center"/>
    </xf>
    <xf numFmtId="43" fontId="24" fillId="5" borderId="35" xfId="1" quotePrefix="1" applyFont="1" applyFill="1" applyBorder="1" applyAlignment="1">
      <alignment horizontal="left"/>
    </xf>
    <xf numFmtId="3" fontId="23" fillId="0" borderId="0" xfId="0" applyFont="1" applyAlignment="1" applyProtection="1">
      <alignment horizontal="center"/>
      <protection locked="0"/>
    </xf>
    <xf numFmtId="167" fontId="26" fillId="0" borderId="0" xfId="0" applyNumberFormat="1" applyFont="1">
      <alignment horizontal="left" indent="1"/>
    </xf>
    <xf numFmtId="3" fontId="0" fillId="5" borderId="59" xfId="0" applyFill="1" applyBorder="1" applyProtection="1">
      <alignment horizontal="left" indent="1"/>
    </xf>
    <xf numFmtId="1" fontId="23" fillId="0" borderId="0" xfId="0" applyNumberFormat="1" applyFont="1" applyAlignment="1" applyProtection="1">
      <alignment horizontal="left"/>
      <protection locked="0"/>
    </xf>
    <xf numFmtId="43" fontId="57" fillId="5" borderId="35" xfId="1" quotePrefix="1" applyFont="1" applyFill="1" applyBorder="1" applyAlignment="1">
      <alignment horizontal="left"/>
    </xf>
    <xf numFmtId="3" fontId="23" fillId="0" borderId="0" xfId="0" applyFont="1" applyAlignment="1" applyProtection="1"/>
    <xf numFmtId="0" fontId="23" fillId="0" borderId="0" xfId="0" applyNumberFormat="1" applyFont="1" applyAlignment="1" applyProtection="1">
      <alignment horizontal="left"/>
    </xf>
    <xf numFmtId="3" fontId="43" fillId="0" borderId="0" xfId="5" applyNumberFormat="1" applyFont="1" applyAlignment="1" applyProtection="1">
      <alignment horizontal="left"/>
    </xf>
    <xf numFmtId="3" fontId="44" fillId="0" borderId="0" xfId="8" applyFont="1" applyBorder="1" applyProtection="1">
      <alignment horizontal="left"/>
    </xf>
    <xf numFmtId="3" fontId="45" fillId="0" borderId="0" xfId="8" applyFont="1" applyBorder="1" applyProtection="1">
      <alignment horizontal="left"/>
    </xf>
    <xf numFmtId="3" fontId="0" fillId="0" borderId="0" xfId="0" applyAlignment="1">
      <alignment horizontal="left" wrapText="1" indent="1"/>
    </xf>
    <xf numFmtId="3" fontId="33" fillId="0" borderId="0" xfId="0" applyFont="1" applyAlignment="1">
      <alignment horizontal="left" wrapText="1" indent="1"/>
    </xf>
    <xf numFmtId="3" fontId="0" fillId="0" borderId="0" xfId="0" applyFont="1" applyAlignment="1">
      <alignment horizontal="left" wrapText="1" indent="1"/>
    </xf>
    <xf numFmtId="3" fontId="26" fillId="0" borderId="0" xfId="0" applyFont="1" applyAlignment="1">
      <alignment horizontal="left" wrapText="1" indent="1"/>
    </xf>
    <xf numFmtId="3" fontId="26" fillId="0" borderId="0" xfId="0" applyFont="1" applyAlignment="1">
      <alignment horizontal="left" vertical="top" indent="1"/>
    </xf>
    <xf numFmtId="3" fontId="0" fillId="0" borderId="0" xfId="0" applyAlignment="1">
      <alignment horizontal="left" vertical="top" indent="1"/>
    </xf>
    <xf numFmtId="3" fontId="23" fillId="0" borderId="0" xfId="0" applyFont="1" applyAlignment="1" applyProtection="1">
      <alignment horizontal="right"/>
    </xf>
    <xf numFmtId="1" fontId="23" fillId="0" borderId="0" xfId="0" applyNumberFormat="1" applyFont="1" applyAlignment="1">
      <alignment horizontal="right"/>
    </xf>
    <xf numFmtId="1" fontId="24" fillId="0" borderId="0" xfId="0" applyNumberFormat="1" applyFont="1" applyAlignment="1">
      <alignment horizontal="right"/>
    </xf>
    <xf numFmtId="3" fontId="55" fillId="0" borderId="38" xfId="0" quotePrefix="1" applyFont="1" applyFill="1" applyBorder="1" applyAlignment="1" applyProtection="1">
      <alignment horizontal="right"/>
    </xf>
    <xf numFmtId="3" fontId="35" fillId="0" borderId="0" xfId="0" applyFont="1" applyFill="1" applyBorder="1" applyAlignment="1" applyProtection="1">
      <alignment horizontal="right"/>
    </xf>
    <xf numFmtId="0" fontId="35" fillId="0" borderId="0" xfId="0" applyNumberFormat="1" applyFont="1" applyFill="1" applyBorder="1" applyAlignment="1">
      <alignment horizontal="right"/>
    </xf>
    <xf numFmtId="3" fontId="55" fillId="0" borderId="43" xfId="0" quotePrefix="1" applyFont="1" applyFill="1" applyBorder="1" applyAlignment="1" applyProtection="1">
      <alignment horizontal="right"/>
    </xf>
    <xf numFmtId="0" fontId="35" fillId="8" borderId="43" xfId="0" applyNumberFormat="1" applyFont="1" applyFill="1" applyBorder="1" applyAlignment="1" applyProtection="1">
      <alignment horizontal="right"/>
      <protection locked="0"/>
    </xf>
    <xf numFmtId="3" fontId="35" fillId="0" borderId="19" xfId="0" applyFont="1" applyFill="1" applyBorder="1" applyAlignment="1" applyProtection="1">
      <alignment horizontal="right"/>
    </xf>
    <xf numFmtId="0" fontId="35" fillId="0" borderId="19" xfId="0" applyNumberFormat="1" applyFont="1" applyFill="1" applyBorder="1" applyAlignment="1">
      <alignment horizontal="right"/>
    </xf>
    <xf numFmtId="3" fontId="24" fillId="12" borderId="42" xfId="0" applyFont="1" applyFill="1" applyBorder="1" applyAlignment="1" applyProtection="1">
      <alignment horizontal="right" indent="1"/>
    </xf>
    <xf numFmtId="1" fontId="24" fillId="12" borderId="42" xfId="0" applyNumberFormat="1" applyFont="1" applyFill="1" applyBorder="1" applyAlignment="1" applyProtection="1">
      <alignment horizontal="right"/>
    </xf>
    <xf numFmtId="3" fontId="34" fillId="0" borderId="0" xfId="0" applyFont="1" applyAlignment="1">
      <alignment horizontal="center"/>
    </xf>
    <xf numFmtId="3" fontId="23" fillId="0" borderId="0" xfId="0" applyFont="1" applyAlignment="1" applyProtection="1">
      <alignment horizontal="left"/>
    </xf>
    <xf numFmtId="3" fontId="37" fillId="0" borderId="60" xfId="0" applyFont="1" applyBorder="1" applyAlignment="1">
      <alignment horizontal="left" indent="1"/>
    </xf>
    <xf numFmtId="3" fontId="36" fillId="13" borderId="60" xfId="0" applyFont="1" applyFill="1" applyBorder="1" applyAlignment="1">
      <alignment horizontal="left" indent="1"/>
    </xf>
    <xf numFmtId="3" fontId="36" fillId="0" borderId="61" xfId="0" applyFont="1" applyBorder="1" applyAlignment="1">
      <alignment horizontal="left" indent="1"/>
    </xf>
    <xf numFmtId="164" fontId="0" fillId="0" borderId="0" xfId="0" applyNumberFormat="1" applyAlignment="1" applyProtection="1">
      <alignment horizontal="left"/>
    </xf>
    <xf numFmtId="3" fontId="29" fillId="10" borderId="27" xfId="6" applyNumberFormat="1" applyFont="1" applyFill="1" applyBorder="1" applyAlignment="1" applyProtection="1">
      <alignment horizontal="left"/>
      <protection locked="0"/>
    </xf>
    <xf numFmtId="43" fontId="58" fillId="5" borderId="35" xfId="1" quotePrefix="1" applyFont="1" applyFill="1" applyBorder="1" applyAlignment="1" applyProtection="1">
      <alignment horizontal="center"/>
    </xf>
    <xf numFmtId="3" fontId="59" fillId="0" borderId="56" xfId="0" applyFont="1" applyFill="1" applyBorder="1" applyAlignment="1" applyProtection="1">
      <alignment horizontal="left"/>
      <protection locked="0"/>
    </xf>
    <xf numFmtId="0" fontId="59" fillId="0" borderId="56" xfId="0" applyNumberFormat="1" applyFont="1" applyFill="1" applyBorder="1" applyAlignment="1" applyProtection="1">
      <alignment horizontal="left"/>
      <protection locked="0"/>
    </xf>
    <xf numFmtId="49" fontId="59" fillId="0" borderId="56" xfId="0" applyNumberFormat="1" applyFont="1" applyFill="1" applyBorder="1" applyAlignment="1" applyProtection="1">
      <alignment horizontal="left"/>
      <protection locked="0"/>
    </xf>
    <xf numFmtId="3" fontId="59" fillId="0" borderId="28" xfId="0" applyFont="1" applyFill="1" applyBorder="1" applyAlignment="1" applyProtection="1">
      <alignment horizontal="left"/>
      <protection locked="0"/>
    </xf>
    <xf numFmtId="0" fontId="59" fillId="0" borderId="28" xfId="0" applyNumberFormat="1" applyFont="1" applyFill="1" applyBorder="1" applyAlignment="1" applyProtection="1">
      <alignment horizontal="left"/>
      <protection locked="0"/>
    </xf>
    <xf numFmtId="49" fontId="59" fillId="0" borderId="28" xfId="0" applyNumberFormat="1" applyFont="1" applyFill="1" applyBorder="1" applyAlignment="1" applyProtection="1">
      <alignment horizontal="left"/>
      <protection locked="0"/>
    </xf>
    <xf numFmtId="3" fontId="26" fillId="0" borderId="64" xfId="0" applyFont="1" applyBorder="1" applyAlignment="1">
      <alignment horizontal="center"/>
    </xf>
    <xf numFmtId="3" fontId="26" fillId="0" borderId="65" xfId="0" applyFont="1" applyBorder="1" applyAlignment="1">
      <alignment horizontal="center"/>
    </xf>
    <xf numFmtId="3" fontId="36" fillId="13" borderId="66" xfId="0" applyFont="1" applyFill="1" applyBorder="1" applyAlignment="1">
      <alignment horizontal="center"/>
    </xf>
    <xf numFmtId="3" fontId="36" fillId="13" borderId="67" xfId="0" applyFont="1" applyFill="1" applyBorder="1" applyAlignment="1">
      <alignment horizontal="center"/>
    </xf>
    <xf numFmtId="3" fontId="36" fillId="0" borderId="4" xfId="0" applyFont="1" applyBorder="1" applyAlignment="1">
      <alignment horizontal="center"/>
    </xf>
    <xf numFmtId="3" fontId="36" fillId="13" borderId="4" xfId="0" applyFont="1" applyFill="1" applyBorder="1" applyAlignment="1">
      <alignment horizontal="center"/>
    </xf>
    <xf numFmtId="3" fontId="29" fillId="10" borderId="27" xfId="6" applyNumberFormat="1" applyFont="1" applyFill="1" applyBorder="1" applyAlignment="1" applyProtection="1">
      <alignment horizontal="left"/>
      <protection locked="0"/>
    </xf>
    <xf numFmtId="3" fontId="53" fillId="0" borderId="0" xfId="0" applyFont="1" applyAlignment="1">
      <alignment horizontal="left"/>
    </xf>
    <xf numFmtId="3" fontId="36" fillId="5" borderId="10" xfId="0" applyFont="1" applyFill="1" applyBorder="1" applyAlignment="1">
      <alignment horizontal="left" indent="1"/>
    </xf>
    <xf numFmtId="3" fontId="36" fillId="5" borderId="10" xfId="0" applyFont="1" applyFill="1" applyBorder="1" applyAlignment="1">
      <alignment horizontal="left"/>
    </xf>
    <xf numFmtId="3" fontId="36" fillId="5" borderId="9" xfId="0" applyFont="1" applyFill="1" applyBorder="1" applyAlignment="1">
      <alignment horizontal="center"/>
    </xf>
    <xf numFmtId="3" fontId="36" fillId="5" borderId="11" xfId="0" applyFont="1" applyFill="1" applyBorder="1" applyAlignment="1">
      <alignment horizontal="center"/>
    </xf>
    <xf numFmtId="3" fontId="36" fillId="5" borderId="10" xfId="0" applyFont="1" applyFill="1" applyBorder="1" applyAlignment="1">
      <alignment horizontal="center"/>
    </xf>
    <xf numFmtId="3" fontId="36" fillId="5" borderId="15" xfId="0" applyFont="1" applyFill="1" applyBorder="1" applyAlignment="1">
      <alignment horizontal="center"/>
    </xf>
    <xf numFmtId="3" fontId="8" fillId="0" borderId="0" xfId="0" applyFont="1" applyBorder="1" applyAlignment="1">
      <alignment horizontal="center"/>
    </xf>
    <xf numFmtId="3" fontId="23" fillId="0" borderId="0" xfId="0" applyFont="1" applyBorder="1" applyAlignment="1">
      <alignment horizontal="left"/>
    </xf>
    <xf numFmtId="3" fontId="7" fillId="0" borderId="0" xfId="0" applyFont="1" applyBorder="1">
      <alignment horizontal="left" indent="1"/>
    </xf>
    <xf numFmtId="3" fontId="0" fillId="0" borderId="0" xfId="0" applyProtection="1">
      <alignment horizontal="left" indent="1"/>
      <protection locked="0"/>
    </xf>
    <xf numFmtId="3" fontId="0" fillId="5" borderId="0" xfId="0" applyFill="1" applyAlignment="1"/>
    <xf numFmtId="3" fontId="60" fillId="5" borderId="0" xfId="0" applyFont="1" applyFill="1" applyAlignment="1"/>
    <xf numFmtId="3" fontId="0" fillId="5" borderId="0" xfId="0" applyFill="1" applyAlignment="1">
      <alignment horizontal="center"/>
    </xf>
    <xf numFmtId="3" fontId="0" fillId="5" borderId="0" xfId="0" applyFill="1" applyBorder="1" applyAlignment="1"/>
    <xf numFmtId="3" fontId="0" fillId="5" borderId="0" xfId="0" applyFill="1" applyAlignment="1" applyProtection="1">
      <protection locked="0"/>
    </xf>
    <xf numFmtId="3" fontId="0" fillId="5" borderId="0" xfId="0" applyFill="1" applyBorder="1" applyAlignment="1">
      <alignment horizontal="center"/>
    </xf>
    <xf numFmtId="49" fontId="0" fillId="5" borderId="0" xfId="0" applyNumberFormat="1" applyFill="1" applyBorder="1" applyAlignment="1">
      <alignment horizontal="center"/>
    </xf>
    <xf numFmtId="49" fontId="0" fillId="5" borderId="0" xfId="0" applyNumberFormat="1" applyFill="1" applyAlignment="1">
      <alignment horizontal="center"/>
    </xf>
    <xf numFmtId="3" fontId="26" fillId="5" borderId="0" xfId="0" applyFont="1" applyFill="1" applyAlignment="1">
      <alignment horizontal="center"/>
    </xf>
    <xf numFmtId="3" fontId="26" fillId="12" borderId="0" xfId="0" applyFont="1" applyFill="1" applyAlignment="1">
      <alignment horizontal="center"/>
    </xf>
    <xf numFmtId="3" fontId="0" fillId="12" borderId="0" xfId="0" applyFill="1" applyAlignment="1">
      <alignment horizontal="center"/>
    </xf>
    <xf numFmtId="3" fontId="0" fillId="12" borderId="0" xfId="0" applyFill="1" applyAlignment="1">
      <alignment horizontal="left"/>
    </xf>
    <xf numFmtId="1" fontId="0" fillId="12" borderId="0" xfId="0" applyNumberFormat="1" applyFill="1" applyAlignment="1">
      <alignment horizontal="center"/>
    </xf>
    <xf numFmtId="3" fontId="26" fillId="5" borderId="0" xfId="0" applyFont="1" applyFill="1" applyAlignment="1">
      <alignment horizontal="left"/>
    </xf>
    <xf numFmtId="3" fontId="61" fillId="5" borderId="0" xfId="0" applyFont="1" applyFill="1" applyAlignment="1">
      <alignment horizontal="left"/>
    </xf>
    <xf numFmtId="3" fontId="61" fillId="5" borderId="0" xfId="0" applyFont="1" applyFill="1" applyAlignment="1">
      <alignment horizontal="center"/>
    </xf>
    <xf numFmtId="3" fontId="61" fillId="5" borderId="0" xfId="0" applyFont="1" applyFill="1" applyAlignment="1">
      <alignment horizontal="right"/>
    </xf>
    <xf numFmtId="3" fontId="58" fillId="0" borderId="0" xfId="0" applyFont="1" applyAlignment="1" applyProtection="1">
      <alignment horizontal="left"/>
    </xf>
    <xf numFmtId="49" fontId="0" fillId="0" borderId="0" xfId="0" applyNumberFormat="1" applyFill="1" applyBorder="1" applyAlignment="1" applyProtection="1">
      <alignment horizontal="center"/>
      <protection locked="0"/>
    </xf>
    <xf numFmtId="3" fontId="0" fillId="0" borderId="0" xfId="0" applyFill="1" applyBorder="1" applyAlignment="1" applyProtection="1">
      <alignment horizontal="center"/>
      <protection locked="0"/>
    </xf>
    <xf numFmtId="3" fontId="0" fillId="0" borderId="4" xfId="0" applyFill="1" applyBorder="1" applyAlignment="1" applyProtection="1">
      <protection locked="0"/>
    </xf>
    <xf numFmtId="49" fontId="0" fillId="0" borderId="10" xfId="0" applyNumberFormat="1" applyFill="1" applyBorder="1" applyAlignment="1" applyProtection="1">
      <alignment horizontal="center"/>
      <protection locked="0"/>
    </xf>
    <xf numFmtId="3" fontId="0" fillId="0" borderId="10" xfId="0" applyFill="1" applyBorder="1" applyAlignment="1" applyProtection="1">
      <alignment horizontal="center"/>
      <protection locked="0"/>
    </xf>
    <xf numFmtId="3" fontId="0" fillId="0" borderId="11" xfId="0" applyFill="1" applyBorder="1" applyAlignment="1" applyProtection="1">
      <protection locked="0"/>
    </xf>
    <xf numFmtId="3" fontId="29" fillId="10" borderId="16" xfId="6" applyNumberFormat="1" applyFont="1" applyFill="1" applyAlignment="1" applyProtection="1">
      <alignment horizontal="left"/>
      <protection locked="0"/>
    </xf>
    <xf numFmtId="3" fontId="0" fillId="5" borderId="0" xfId="0" applyFill="1" applyAlignment="1">
      <alignment horizontal="left"/>
    </xf>
    <xf numFmtId="49" fontId="0" fillId="0" borderId="69" xfId="0" applyNumberFormat="1" applyFill="1" applyBorder="1" applyAlignment="1" applyProtection="1">
      <alignment horizontal="center"/>
      <protection locked="0"/>
    </xf>
    <xf numFmtId="3" fontId="0" fillId="0" borderId="69" xfId="0" applyFill="1" applyBorder="1" applyAlignment="1" applyProtection="1">
      <alignment horizontal="center"/>
      <protection locked="0"/>
    </xf>
    <xf numFmtId="3" fontId="0" fillId="0" borderId="70" xfId="0" applyFill="1" applyBorder="1" applyAlignment="1" applyProtection="1">
      <protection locked="0"/>
    </xf>
    <xf numFmtId="3" fontId="0" fillId="5" borderId="68" xfId="0" applyFill="1" applyBorder="1" applyAlignment="1">
      <alignment horizontal="center"/>
    </xf>
    <xf numFmtId="3" fontId="0" fillId="5" borderId="3" xfId="0" applyFill="1" applyBorder="1" applyAlignment="1">
      <alignment horizontal="center"/>
    </xf>
    <xf numFmtId="3" fontId="0" fillId="5" borderId="9" xfId="0" applyFill="1" applyBorder="1" applyAlignment="1">
      <alignment horizontal="center"/>
    </xf>
    <xf numFmtId="3" fontId="24" fillId="0" borderId="0" xfId="0" applyFont="1" applyAlignment="1" applyProtection="1">
      <alignment horizontal="center"/>
    </xf>
    <xf numFmtId="1" fontId="0" fillId="0" borderId="68" xfId="0" applyNumberFormat="1" applyFill="1" applyBorder="1" applyAlignment="1" applyProtection="1">
      <alignment horizontal="center"/>
      <protection locked="0"/>
    </xf>
    <xf numFmtId="1" fontId="0" fillId="0" borderId="3" xfId="0" applyNumberFormat="1" applyFill="1" applyBorder="1" applyAlignment="1" applyProtection="1">
      <alignment horizontal="center"/>
      <protection locked="0"/>
    </xf>
    <xf numFmtId="1" fontId="0" fillId="0" borderId="9" xfId="0" applyNumberFormat="1" applyFill="1" applyBorder="1" applyAlignment="1" applyProtection="1">
      <alignment horizontal="center"/>
      <protection locked="0"/>
    </xf>
    <xf numFmtId="1" fontId="0" fillId="0" borderId="69" xfId="0" applyNumberFormat="1" applyFill="1" applyBorder="1" applyAlignment="1" applyProtection="1">
      <alignment horizontal="center"/>
      <protection locked="0"/>
    </xf>
    <xf numFmtId="1" fontId="0" fillId="0" borderId="0" xfId="0" applyNumberFormat="1" applyFill="1" applyBorder="1" applyAlignment="1" applyProtection="1">
      <alignment horizontal="center"/>
      <protection locked="0"/>
    </xf>
    <xf numFmtId="1" fontId="0" fillId="12" borderId="0" xfId="0" applyNumberFormat="1" applyFill="1" applyAlignment="1">
      <alignment horizontal="left"/>
    </xf>
    <xf numFmtId="3" fontId="50" fillId="0" borderId="0" xfId="0" applyFont="1" applyAlignment="1" applyProtection="1">
      <alignment horizontal="center"/>
    </xf>
    <xf numFmtId="0" fontId="0" fillId="0" borderId="0" xfId="0" applyNumberFormat="1" applyProtection="1">
      <alignment horizontal="left" indent="1"/>
    </xf>
    <xf numFmtId="0" fontId="39" fillId="8" borderId="0" xfId="0" applyNumberFormat="1" applyFont="1" applyFill="1" applyBorder="1" applyAlignment="1" applyProtection="1">
      <alignment horizontal="left" vertical="top" wrapText="1" indent="1"/>
    </xf>
    <xf numFmtId="3" fontId="57" fillId="0" borderId="0" xfId="0" applyFont="1">
      <alignment horizontal="left" indent="1"/>
    </xf>
    <xf numFmtId="3" fontId="63" fillId="0" borderId="0" xfId="0" applyFont="1" applyAlignment="1" applyProtection="1"/>
    <xf numFmtId="3" fontId="63" fillId="0" borderId="0" xfId="0" applyFont="1" applyProtection="1">
      <alignment horizontal="left" indent="1"/>
    </xf>
    <xf numFmtId="3" fontId="7" fillId="0" borderId="1" xfId="0" applyFont="1" applyFill="1" applyBorder="1" applyProtection="1">
      <alignment horizontal="left" indent="1"/>
    </xf>
    <xf numFmtId="3" fontId="7" fillId="0" borderId="7" xfId="0" applyFont="1" applyFill="1" applyBorder="1" applyProtection="1">
      <alignment horizontal="left" indent="1"/>
    </xf>
    <xf numFmtId="0" fontId="7" fillId="0" borderId="7" xfId="0" applyNumberFormat="1" applyFont="1" applyFill="1" applyBorder="1" applyProtection="1">
      <alignment horizontal="left" indent="1"/>
    </xf>
    <xf numFmtId="3" fontId="7" fillId="0" borderId="2" xfId="0" applyFont="1" applyFill="1" applyBorder="1" applyProtection="1">
      <alignment horizontal="left" indent="1"/>
    </xf>
    <xf numFmtId="3" fontId="7" fillId="0" borderId="3" xfId="0" applyFont="1" applyFill="1" applyBorder="1" applyProtection="1">
      <alignment horizontal="left" indent="1"/>
    </xf>
    <xf numFmtId="3" fontId="7" fillId="0" borderId="0" xfId="0" applyFont="1" applyFill="1" applyBorder="1" applyProtection="1">
      <alignment horizontal="left" indent="1"/>
    </xf>
    <xf numFmtId="0" fontId="7" fillId="0" borderId="0" xfId="0" applyNumberFormat="1" applyFont="1" applyFill="1" applyBorder="1" applyProtection="1">
      <alignment horizontal="left" indent="1"/>
    </xf>
    <xf numFmtId="3" fontId="7" fillId="0" borderId="4" xfId="0" applyFont="1" applyFill="1" applyBorder="1" applyProtection="1">
      <alignment horizontal="left" indent="1"/>
    </xf>
    <xf numFmtId="3" fontId="7" fillId="0" borderId="68" xfId="0" applyFont="1" applyFill="1" applyBorder="1" applyProtection="1">
      <alignment horizontal="left" indent="1"/>
    </xf>
    <xf numFmtId="3" fontId="7" fillId="0" borderId="69" xfId="0" applyFont="1" applyFill="1" applyBorder="1" applyProtection="1">
      <alignment horizontal="left" indent="1"/>
    </xf>
    <xf numFmtId="0" fontId="7" fillId="0" borderId="69" xfId="0" applyNumberFormat="1" applyFont="1" applyFill="1" applyBorder="1" applyProtection="1">
      <alignment horizontal="left" indent="1"/>
    </xf>
    <xf numFmtId="0" fontId="7" fillId="0" borderId="70" xfId="0" applyNumberFormat="1" applyFont="1" applyFill="1" applyBorder="1" applyProtection="1">
      <alignment horizontal="left" indent="1"/>
    </xf>
    <xf numFmtId="0" fontId="7" fillId="0" borderId="4" xfId="0" applyNumberFormat="1" applyFont="1" applyFill="1" applyBorder="1" applyProtection="1">
      <alignment horizontal="left" indent="1"/>
    </xf>
    <xf numFmtId="3" fontId="7" fillId="0" borderId="9" xfId="0" applyFont="1" applyFill="1" applyBorder="1" applyProtection="1">
      <alignment horizontal="left" indent="1"/>
    </xf>
    <xf numFmtId="3" fontId="7" fillId="0" borderId="10" xfId="0" applyFont="1" applyFill="1" applyBorder="1" applyProtection="1">
      <alignment horizontal="left" indent="1"/>
    </xf>
    <xf numFmtId="0" fontId="7" fillId="0" borderId="10" xfId="0" applyNumberFormat="1" applyFont="1" applyFill="1" applyBorder="1" applyProtection="1">
      <alignment horizontal="left" indent="1"/>
    </xf>
    <xf numFmtId="0" fontId="7" fillId="0" borderId="11" xfId="0" applyNumberFormat="1" applyFont="1" applyFill="1" applyBorder="1" applyProtection="1">
      <alignment horizontal="left" indent="1"/>
    </xf>
    <xf numFmtId="3" fontId="21" fillId="0" borderId="0" xfId="0" applyFont="1" applyFill="1" applyProtection="1">
      <alignment horizontal="left" indent="1"/>
    </xf>
    <xf numFmtId="3" fontId="7" fillId="0" borderId="70" xfId="0" applyFont="1" applyFill="1" applyBorder="1" applyProtection="1">
      <alignment horizontal="left" indent="1"/>
    </xf>
    <xf numFmtId="3" fontId="7" fillId="0" borderId="11" xfId="0" applyFont="1" applyFill="1" applyBorder="1" applyProtection="1">
      <alignment horizontal="left" indent="1"/>
    </xf>
    <xf numFmtId="3" fontId="7" fillId="0" borderId="0" xfId="0" applyFont="1" applyFill="1" applyBorder="1">
      <alignment horizontal="left" indent="1"/>
    </xf>
    <xf numFmtId="3" fontId="7" fillId="0" borderId="4" xfId="0" applyFont="1" applyFill="1" applyBorder="1">
      <alignment horizontal="left" indent="1"/>
    </xf>
    <xf numFmtId="1" fontId="35" fillId="7" borderId="29" xfId="0" applyNumberFormat="1" applyFont="1" applyFill="1" applyBorder="1" applyAlignment="1" applyProtection="1">
      <alignment horizontal="center"/>
      <protection locked="0"/>
    </xf>
    <xf numFmtId="1" fontId="23" fillId="12" borderId="42" xfId="0" applyNumberFormat="1" applyFont="1" applyFill="1" applyBorder="1" applyAlignment="1" applyProtection="1">
      <alignment horizontal="right"/>
    </xf>
    <xf numFmtId="3" fontId="35" fillId="0" borderId="0" xfId="0" applyFont="1" applyFill="1" applyBorder="1" applyAlignment="1">
      <alignment horizontal="center"/>
    </xf>
    <xf numFmtId="3" fontId="35" fillId="8" borderId="43" xfId="0" applyNumberFormat="1" applyFont="1" applyFill="1" applyBorder="1" applyAlignment="1" applyProtection="1">
      <alignment horizontal="center"/>
      <protection locked="0"/>
    </xf>
    <xf numFmtId="3" fontId="35" fillId="0" borderId="19" xfId="0" applyFont="1" applyFill="1" applyBorder="1" applyAlignment="1">
      <alignment horizontal="center"/>
    </xf>
    <xf numFmtId="3" fontId="23" fillId="12" borderId="42" xfId="0" applyFont="1" applyFill="1" applyBorder="1" applyAlignment="1" applyProtection="1">
      <alignment horizontal="center"/>
    </xf>
    <xf numFmtId="3" fontId="64" fillId="0" borderId="0" xfId="0" applyFont="1">
      <alignment horizontal="left" indent="1"/>
    </xf>
    <xf numFmtId="3" fontId="64" fillId="0" borderId="0" xfId="0" applyFont="1" applyFill="1" applyBorder="1">
      <alignment horizontal="left" indent="1"/>
    </xf>
    <xf numFmtId="3" fontId="66" fillId="0" borderId="0" xfId="0" applyFont="1" applyFill="1" applyBorder="1" applyAlignment="1">
      <alignment horizontal="center"/>
    </xf>
    <xf numFmtId="3" fontId="64" fillId="0" borderId="0" xfId="0" applyFont="1" applyFill="1" applyBorder="1" applyAlignment="1">
      <alignment horizontal="left"/>
    </xf>
    <xf numFmtId="3" fontId="65" fillId="0" borderId="0" xfId="0" applyFont="1" applyBorder="1" applyAlignment="1">
      <alignment horizontal="left" indent="1"/>
    </xf>
    <xf numFmtId="3" fontId="0" fillId="0" borderId="0" xfId="0" applyFont="1">
      <alignment horizontal="left" indent="1"/>
    </xf>
    <xf numFmtId="2" fontId="0" fillId="0" borderId="0" xfId="0" applyNumberFormat="1" applyFont="1">
      <alignment horizontal="left" indent="1"/>
    </xf>
    <xf numFmtId="3" fontId="36" fillId="13" borderId="0" xfId="0" applyFont="1" applyFill="1" applyBorder="1" applyAlignment="1">
      <alignment horizontal="center"/>
    </xf>
    <xf numFmtId="3" fontId="56" fillId="0" borderId="0" xfId="0" applyFont="1" applyAlignment="1">
      <alignment horizontal="center"/>
    </xf>
    <xf numFmtId="3" fontId="56" fillId="0" borderId="0" xfId="0" applyFont="1">
      <alignment horizontal="left" indent="1"/>
    </xf>
    <xf numFmtId="3" fontId="67" fillId="0" borderId="0" xfId="0" applyFont="1" applyAlignment="1" applyProtection="1">
      <alignment vertical="center"/>
      <protection locked="0"/>
    </xf>
    <xf numFmtId="0" fontId="0" fillId="0" borderId="0" xfId="0" applyNumberFormat="1" applyFont="1" applyAlignment="1" applyProtection="1">
      <alignment horizontal="center"/>
      <protection locked="0"/>
    </xf>
    <xf numFmtId="3" fontId="21" fillId="0" borderId="0" xfId="1" applyNumberFormat="1" applyFont="1" applyFill="1" applyAlignment="1" applyProtection="1"/>
    <xf numFmtId="166" fontId="30" fillId="8" borderId="0" xfId="0" applyNumberFormat="1" applyFont="1" applyFill="1" applyBorder="1" applyAlignment="1" applyProtection="1">
      <alignment horizontal="right"/>
    </xf>
    <xf numFmtId="166" fontId="30" fillId="8" borderId="0" xfId="0" applyNumberFormat="1" applyFont="1" applyFill="1" applyBorder="1" applyAlignment="1" applyProtection="1">
      <alignment horizontal="center"/>
    </xf>
    <xf numFmtId="166" fontId="30" fillId="8" borderId="0" xfId="0" applyNumberFormat="1" applyFont="1" applyFill="1" applyBorder="1" applyAlignment="1" applyProtection="1">
      <alignment horizontal="left"/>
    </xf>
    <xf numFmtId="43" fontId="30" fillId="8" borderId="0" xfId="1" quotePrefix="1" applyFont="1" applyFill="1" applyBorder="1" applyAlignment="1" applyProtection="1">
      <alignment horizontal="right"/>
    </xf>
    <xf numFmtId="0" fontId="30" fillId="8" borderId="0" xfId="0" applyNumberFormat="1" applyFont="1" applyFill="1" applyBorder="1" applyProtection="1">
      <alignment horizontal="left" indent="1"/>
    </xf>
    <xf numFmtId="43" fontId="30" fillId="8" borderId="0" xfId="1" quotePrefix="1" applyFont="1" applyFill="1" applyBorder="1" applyAlignment="1" applyProtection="1">
      <alignment horizontal="center"/>
    </xf>
    <xf numFmtId="0" fontId="30" fillId="8" borderId="0" xfId="0" applyNumberFormat="1" applyFont="1" applyFill="1" applyBorder="1" applyAlignment="1" applyProtection="1">
      <alignment horizontal="left"/>
    </xf>
    <xf numFmtId="166" fontId="30" fillId="8" borderId="0" xfId="0" quotePrefix="1" applyNumberFormat="1" applyFont="1" applyFill="1" applyBorder="1" applyAlignment="1" applyProtection="1">
      <alignment horizontal="left"/>
    </xf>
    <xf numFmtId="3" fontId="0" fillId="0" borderId="0" xfId="0" applyAlignment="1">
      <alignment horizontal="left" wrapText="1"/>
    </xf>
    <xf numFmtId="3" fontId="29" fillId="10" borderId="16" xfId="6" applyNumberFormat="1" applyFont="1" applyFill="1" applyAlignment="1" applyProtection="1">
      <alignment horizontal="left"/>
      <protection locked="0"/>
    </xf>
    <xf numFmtId="3" fontId="29" fillId="10" borderId="27" xfId="6" applyNumberFormat="1" applyFont="1" applyFill="1" applyBorder="1" applyAlignment="1" applyProtection="1">
      <alignment horizontal="left"/>
      <protection locked="0"/>
    </xf>
    <xf numFmtId="3" fontId="29" fillId="10" borderId="16" xfId="6" applyNumberFormat="1" applyFont="1" applyFill="1" applyBorder="1" applyAlignment="1" applyProtection="1">
      <alignment horizontal="left"/>
      <protection locked="0"/>
    </xf>
    <xf numFmtId="164" fontId="0" fillId="0" borderId="0" xfId="0" applyNumberFormat="1" applyAlignment="1" applyProtection="1">
      <alignment horizontal="left" vertical="center" wrapText="1"/>
    </xf>
    <xf numFmtId="1" fontId="0" fillId="0" borderId="0" xfId="0" applyNumberFormat="1" applyAlignment="1" applyProtection="1">
      <alignment horizontal="center"/>
    </xf>
    <xf numFmtId="3" fontId="40" fillId="15" borderId="51" xfId="0" applyFont="1" applyFill="1" applyBorder="1" applyAlignment="1" applyProtection="1">
      <alignment horizontal="center"/>
    </xf>
    <xf numFmtId="3" fontId="40" fillId="15" borderId="52" xfId="0" applyFont="1" applyFill="1" applyBorder="1" applyAlignment="1" applyProtection="1">
      <alignment horizontal="center"/>
    </xf>
    <xf numFmtId="3" fontId="40" fillId="15" borderId="53" xfId="0" applyFont="1" applyFill="1" applyBorder="1" applyAlignment="1" applyProtection="1">
      <alignment horizontal="center"/>
    </xf>
    <xf numFmtId="164" fontId="4" fillId="0" borderId="54" xfId="0" applyNumberFormat="1" applyFont="1" applyBorder="1" applyAlignment="1" applyProtection="1">
      <alignment horizontal="center"/>
    </xf>
    <xf numFmtId="164" fontId="4" fillId="0" borderId="12" xfId="0" applyNumberFormat="1" applyFont="1" applyBorder="1" applyAlignment="1" applyProtection="1">
      <alignment horizontal="center"/>
    </xf>
    <xf numFmtId="164" fontId="4" fillId="0" borderId="13" xfId="0" applyNumberFormat="1" applyFont="1" applyBorder="1" applyAlignment="1" applyProtection="1">
      <alignment horizontal="center"/>
    </xf>
    <xf numFmtId="164" fontId="4" fillId="0" borderId="55" xfId="0" applyNumberFormat="1" applyFont="1" applyBorder="1" applyAlignment="1" applyProtection="1">
      <alignment horizontal="center"/>
    </xf>
    <xf numFmtId="0" fontId="39" fillId="8" borderId="36" xfId="0" applyNumberFormat="1" applyFont="1" applyFill="1" applyBorder="1" applyAlignment="1" applyProtection="1">
      <alignment horizontal="left" vertical="top" wrapText="1" indent="1"/>
    </xf>
    <xf numFmtId="0" fontId="39" fillId="8" borderId="0" xfId="0" applyNumberFormat="1" applyFont="1" applyFill="1" applyBorder="1" applyAlignment="1" applyProtection="1">
      <alignment horizontal="left" vertical="top" wrapText="1" indent="1"/>
    </xf>
    <xf numFmtId="0" fontId="39" fillId="8" borderId="33" xfId="0" applyNumberFormat="1" applyFont="1" applyFill="1" applyBorder="1" applyAlignment="1" applyProtection="1">
      <alignment horizontal="left" vertical="top" wrapText="1" indent="1"/>
    </xf>
    <xf numFmtId="0" fontId="39" fillId="8" borderId="34" xfId="0" applyNumberFormat="1" applyFont="1" applyFill="1" applyBorder="1" applyAlignment="1" applyProtection="1">
      <alignment horizontal="left" vertical="top" wrapText="1" indent="1"/>
    </xf>
    <xf numFmtId="0" fontId="39" fillId="8" borderId="35" xfId="0" applyNumberFormat="1" applyFont="1" applyFill="1" applyBorder="1" applyAlignment="1" applyProtection="1">
      <alignment horizontal="left" vertical="top" wrapText="1" indent="1"/>
    </xf>
    <xf numFmtId="0" fontId="39" fillId="8" borderId="37" xfId="0" applyNumberFormat="1" applyFont="1" applyFill="1" applyBorder="1" applyAlignment="1" applyProtection="1">
      <alignment horizontal="left" vertical="top" wrapText="1" indent="1"/>
    </xf>
    <xf numFmtId="0" fontId="39" fillId="7" borderId="32" xfId="0" applyNumberFormat="1" applyFont="1" applyFill="1" applyBorder="1" applyAlignment="1" applyProtection="1">
      <alignment horizontal="left" vertical="top" wrapText="1" indent="1"/>
    </xf>
    <xf numFmtId="0" fontId="39" fillId="7" borderId="30" xfId="0" applyNumberFormat="1" applyFont="1" applyFill="1" applyBorder="1" applyAlignment="1" applyProtection="1">
      <alignment horizontal="left" vertical="top" wrapText="1" indent="1"/>
    </xf>
    <xf numFmtId="0" fontId="39" fillId="7" borderId="31" xfId="0" applyNumberFormat="1" applyFont="1" applyFill="1" applyBorder="1" applyAlignment="1" applyProtection="1">
      <alignment horizontal="left" vertical="top" wrapText="1" indent="1"/>
    </xf>
    <xf numFmtId="0" fontId="39" fillId="7" borderId="36" xfId="0" applyNumberFormat="1" applyFont="1" applyFill="1" applyBorder="1" applyAlignment="1" applyProtection="1">
      <alignment horizontal="left" vertical="top" wrapText="1" indent="1"/>
    </xf>
    <xf numFmtId="0" fontId="39" fillId="7" borderId="0" xfId="0" applyNumberFormat="1" applyFont="1" applyFill="1" applyBorder="1" applyAlignment="1" applyProtection="1">
      <alignment horizontal="left" vertical="top" wrapText="1" indent="1"/>
    </xf>
    <xf numFmtId="0" fontId="39" fillId="7" borderId="33" xfId="0" applyNumberFormat="1" applyFont="1" applyFill="1" applyBorder="1" applyAlignment="1" applyProtection="1">
      <alignment horizontal="left" vertical="top" wrapText="1" indent="1"/>
    </xf>
    <xf numFmtId="0" fontId="39" fillId="7" borderId="34" xfId="0" applyNumberFormat="1" applyFont="1" applyFill="1" applyBorder="1" applyAlignment="1" applyProtection="1">
      <alignment horizontal="left" vertical="top" wrapText="1" indent="1"/>
    </xf>
    <xf numFmtId="0" fontId="39" fillId="7" borderId="35" xfId="0" applyNumberFormat="1" applyFont="1" applyFill="1" applyBorder="1" applyAlignment="1" applyProtection="1">
      <alignment horizontal="left" vertical="top" wrapText="1" indent="1"/>
    </xf>
    <xf numFmtId="0" fontId="39" fillId="7" borderId="37" xfId="0" applyNumberFormat="1" applyFont="1" applyFill="1" applyBorder="1" applyAlignment="1" applyProtection="1">
      <alignment horizontal="left" vertical="top" wrapText="1" indent="1"/>
    </xf>
    <xf numFmtId="0" fontId="39" fillId="8" borderId="32" xfId="0" applyNumberFormat="1" applyFont="1" applyFill="1" applyBorder="1" applyAlignment="1" applyProtection="1">
      <alignment horizontal="left" vertical="top" wrapText="1" indent="1"/>
    </xf>
    <xf numFmtId="0" fontId="39" fillId="8" borderId="30" xfId="0" applyNumberFormat="1" applyFont="1" applyFill="1" applyBorder="1" applyAlignment="1" applyProtection="1">
      <alignment horizontal="left" vertical="top" wrapText="1" indent="1"/>
    </xf>
    <xf numFmtId="0" fontId="39" fillId="8" borderId="31" xfId="0" applyNumberFormat="1" applyFont="1" applyFill="1" applyBorder="1" applyAlignment="1" applyProtection="1">
      <alignment horizontal="left" vertical="top" wrapText="1" indent="1"/>
    </xf>
    <xf numFmtId="3" fontId="39" fillId="7" borderId="36" xfId="0" applyNumberFormat="1" applyFont="1" applyFill="1" applyBorder="1" applyAlignment="1" applyProtection="1">
      <alignment horizontal="left" vertical="top" wrapText="1" indent="1"/>
    </xf>
    <xf numFmtId="3" fontId="39" fillId="8" borderId="36" xfId="0" applyNumberFormat="1" applyFont="1" applyFill="1" applyBorder="1" applyAlignment="1" applyProtection="1">
      <alignment horizontal="left" vertical="top" wrapText="1" indent="1"/>
    </xf>
    <xf numFmtId="3" fontId="40" fillId="15" borderId="51" xfId="0" applyFont="1" applyFill="1" applyBorder="1" applyAlignment="1" applyProtection="1">
      <alignment horizontal="left" indent="1"/>
    </xf>
    <xf numFmtId="3" fontId="40" fillId="15" borderId="52" xfId="0" applyFont="1" applyFill="1" applyBorder="1" applyAlignment="1" applyProtection="1">
      <alignment horizontal="left" indent="1"/>
    </xf>
    <xf numFmtId="3" fontId="40" fillId="15" borderId="53" xfId="0" applyFont="1" applyFill="1" applyBorder="1" applyAlignment="1" applyProtection="1">
      <alignment horizontal="left" indent="1"/>
    </xf>
    <xf numFmtId="0" fontId="23" fillId="0" borderId="0" xfId="0" applyNumberFormat="1" applyFont="1" applyAlignment="1" applyProtection="1">
      <alignment horizontal="center"/>
    </xf>
    <xf numFmtId="3" fontId="41" fillId="0" borderId="0" xfId="0" applyFont="1" applyAlignment="1">
      <alignment horizontal="center"/>
    </xf>
    <xf numFmtId="3" fontId="42" fillId="0" borderId="0" xfId="0" applyFont="1" applyAlignment="1">
      <alignment horizontal="center"/>
    </xf>
    <xf numFmtId="3" fontId="24" fillId="0" borderId="0" xfId="0" applyFont="1" applyAlignment="1" applyProtection="1">
      <alignment horizontal="center"/>
    </xf>
    <xf numFmtId="3" fontId="53" fillId="0" borderId="0" xfId="0" applyFont="1" applyAlignment="1" applyProtection="1">
      <alignment horizontal="left"/>
    </xf>
    <xf numFmtId="3" fontId="53" fillId="0" borderId="0" xfId="0" applyFont="1" applyAlignment="1">
      <alignment horizontal="left"/>
    </xf>
    <xf numFmtId="3" fontId="57" fillId="16" borderId="0" xfId="0" applyFont="1" applyFill="1" applyAlignment="1">
      <alignment horizontal="center" wrapText="1"/>
    </xf>
    <xf numFmtId="3" fontId="27" fillId="9" borderId="48" xfId="0" applyFont="1" applyFill="1" applyBorder="1" applyAlignment="1">
      <alignment horizontal="center" wrapText="1"/>
    </xf>
    <xf numFmtId="3" fontId="27" fillId="9" borderId="49" xfId="0" applyFont="1" applyFill="1" applyBorder="1" applyAlignment="1">
      <alignment horizontal="center" wrapText="1"/>
    </xf>
    <xf numFmtId="3" fontId="27" fillId="9" borderId="23" xfId="0" applyFont="1" applyFill="1" applyBorder="1" applyAlignment="1">
      <alignment horizontal="center"/>
    </xf>
    <xf numFmtId="3" fontId="27" fillId="9" borderId="26" xfId="0" applyFont="1" applyFill="1" applyBorder="1" applyAlignment="1">
      <alignment horizontal="center"/>
    </xf>
    <xf numFmtId="3" fontId="26" fillId="0" borderId="62" xfId="0" applyFont="1" applyBorder="1" applyAlignment="1">
      <alignment horizontal="center"/>
    </xf>
    <xf numFmtId="3" fontId="26" fillId="0" borderId="63" xfId="0" applyFont="1" applyBorder="1" applyAlignment="1">
      <alignment horizontal="center"/>
    </xf>
    <xf numFmtId="3" fontId="52" fillId="0" borderId="0" xfId="0" applyFont="1" applyAlignment="1" applyProtection="1">
      <alignment horizontal="left" wrapText="1" indent="1"/>
      <protection locked="0"/>
    </xf>
  </cellXfs>
  <cellStyles count="86">
    <cellStyle name="Comma" xfId="1" builtinId="3"/>
    <cellStyle name="Currency Custom" xfId="2" xr:uid="{00000000-0005-0000-0000-000001000000}"/>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Heading 1" xfId="3" builtinId="16" customBuiltin="1"/>
    <cellStyle name="Heading 2" xfId="4" builtinId="17" customBuiltin="1"/>
    <cellStyle name="Heading 3" xfId="5" builtinId="18" customBuilti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Input" xfId="6" builtinId="20" customBuiltin="1"/>
    <cellStyle name="Input Custom" xfId="7" xr:uid="{00000000-0005-0000-0000-00004C000000}"/>
    <cellStyle name="Input Label" xfId="8" xr:uid="{00000000-0005-0000-0000-00004D000000}"/>
    <cellStyle name="Normal" xfId="0" builtinId="0" customBuiltin="1"/>
    <cellStyle name="Normal 2" xfId="9" xr:uid="{00000000-0005-0000-0000-00004F000000}"/>
    <cellStyle name="Normal 3" xfId="10" xr:uid="{00000000-0005-0000-0000-000050000000}"/>
    <cellStyle name="Normal 4" xfId="11" xr:uid="{00000000-0005-0000-0000-000051000000}"/>
    <cellStyle name="Normal 5" xfId="12" xr:uid="{00000000-0005-0000-0000-000052000000}"/>
    <cellStyle name="Normal 6" xfId="15" xr:uid="{00000000-0005-0000-0000-000053000000}"/>
    <cellStyle name="Title" xfId="13" builtinId="15" customBuiltin="1"/>
    <cellStyle name="Title 2" xfId="14" xr:uid="{00000000-0005-0000-0000-000055000000}"/>
  </cellStyles>
  <dxfs count="9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fill>
        <patternFill>
          <bgColor theme="0" tint="-0.24994659260841701"/>
        </patternFill>
      </fill>
    </dxf>
    <dxf>
      <fill>
        <patternFill>
          <bgColor rgb="FFC00000"/>
        </patternFill>
      </fill>
    </dxf>
    <dxf>
      <fill>
        <patternFill>
          <bgColor theme="0" tint="-0.24994659260841701"/>
        </patternFill>
      </fill>
    </dxf>
    <dxf>
      <fill>
        <patternFill>
          <bgColor rgb="FFC00000"/>
        </patternFill>
      </fill>
    </dxf>
    <dxf>
      <fill>
        <patternFill>
          <bgColor theme="0" tint="-0.24994659260841701"/>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protection locked="1" hidden="0"/>
    </dxf>
    <dxf>
      <border diagonalUp="0" diagonalDown="0" outline="0">
        <left style="hair">
          <color theme="1"/>
        </left>
        <right style="hair">
          <color theme="1"/>
        </right>
        <top/>
        <bottom/>
      </border>
      <protection locked="1" hidden="0"/>
    </dxf>
    <dxf>
      <border outline="0">
        <top style="thin">
          <color theme="3"/>
        </top>
        <bottom style="hair">
          <color theme="1"/>
        </bottom>
      </border>
    </dxf>
    <dxf>
      <protection locked="1" hidden="0"/>
    </dxf>
    <dxf>
      <protection locked="0" hidden="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patternType="none">
          <bgColor auto="1"/>
        </patternFill>
      </fill>
    </dxf>
    <dxf>
      <fill>
        <patternFill>
          <bgColor theme="4" tint="0.79998168889431442"/>
        </patternFill>
      </fill>
    </dxf>
    <dxf>
      <fill>
        <patternFill>
          <bgColor theme="2"/>
        </patternFill>
      </fill>
    </dxf>
    <dxf>
      <font>
        <color theme="2"/>
      </font>
      <fill>
        <patternFill>
          <bgColor theme="3"/>
        </patternFill>
      </fill>
      <border>
        <vertical style="medium">
          <color theme="0"/>
        </vertical>
      </border>
    </dxf>
    <dxf>
      <border>
        <left style="thin">
          <color theme="3"/>
        </left>
        <right style="thin">
          <color theme="3"/>
        </right>
        <top style="thin">
          <color theme="3"/>
        </top>
        <bottom style="thin">
          <color theme="3"/>
        </bottom>
        <vertical style="thin">
          <color theme="3"/>
        </vertical>
      </border>
    </dxf>
  </dxfs>
  <tableStyles count="2" defaultTableStyle="TableStyleMedium2" defaultPivotStyle="PivotStyleLight16">
    <tableStyle name="MySqlDefault" pivot="0" table="0" count="0" xr9:uid="{00000000-0011-0000-FFFF-FFFF00000000}"/>
    <tableStyle name="Quarterly Sales Report" pivot="0" count="3" xr9:uid="{00000000-0011-0000-FFFF-FFFF01000000}">
      <tableStyleElement type="wholeTable" dxfId="930"/>
      <tableStyleElement type="headerRow" dxfId="929"/>
      <tableStyleElement type="secondRowStripe" dxfId="928"/>
    </tableStyle>
  </tableStyles>
  <colors>
    <mruColors>
      <color rgb="FFA8FEFA"/>
      <color rgb="FF014F4B"/>
      <color rgb="FF014B38"/>
      <color rgb="FF014130"/>
      <color rgb="FF013124"/>
      <color rgb="FF012119"/>
      <color rgb="FF013314"/>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0</xdr:colOff>
      <xdr:row>11</xdr:row>
      <xdr:rowOff>0</xdr:rowOff>
    </xdr:from>
    <xdr:to>
      <xdr:col>6</xdr:col>
      <xdr:colOff>0</xdr:colOff>
      <xdr:row>11</xdr:row>
      <xdr:rowOff>285751</xdr:rowOff>
    </xdr:to>
    <xdr:sp macro="" textlink="">
      <xdr:nvSpPr>
        <xdr:cNvPr id="2" name="Tip" descr="Replace the sample data provided below with your own to calculate retirement age and savings.&#10;">
          <a:extLst>
            <a:ext uri="{FF2B5EF4-FFF2-40B4-BE49-F238E27FC236}">
              <a16:creationId xmlns:a16="http://schemas.microsoft.com/office/drawing/2014/main" id="{00000000-0008-0000-0100-000002000000}"/>
            </a:ext>
          </a:extLst>
        </xdr:cNvPr>
        <xdr:cNvSpPr txBox="1"/>
      </xdr:nvSpPr>
      <xdr:spPr>
        <a:xfrm>
          <a:off x="2905125" y="1466850"/>
          <a:ext cx="3495675" cy="285751"/>
        </a:xfrm>
        <a:prstGeom prst="wedgeRectCallout">
          <a:avLst>
            <a:gd name="adj1" fmla="val -51613"/>
            <a:gd name="adj2" fmla="val -16707"/>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9144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spc="40" baseline="0">
              <a:solidFill>
                <a:schemeClr val="accent1">
                  <a:lumMod val="50000"/>
                </a:schemeClr>
              </a:solidFill>
            </a:rPr>
            <a:t>Enter this in TEAM NUMBER ORDER</a:t>
          </a:r>
        </a:p>
      </xdr:txBody>
    </xdr:sp>
    <xdr:clientData/>
  </xdr:twoCellAnchor>
  <xdr:twoCellAnchor editAs="oneCell">
    <xdr:from>
      <xdr:col>3</xdr:col>
      <xdr:colOff>166688</xdr:colOff>
      <xdr:row>2</xdr:row>
      <xdr:rowOff>90487</xdr:rowOff>
    </xdr:from>
    <xdr:to>
      <xdr:col>3</xdr:col>
      <xdr:colOff>1225022</xdr:colOff>
      <xdr:row>6</xdr:row>
      <xdr:rowOff>38100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043363" y="581025"/>
          <a:ext cx="1058334" cy="5953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95250</xdr:colOff>
      <xdr:row>6</xdr:row>
      <xdr:rowOff>161925</xdr:rowOff>
    </xdr:from>
    <xdr:to>
      <xdr:col>28</xdr:col>
      <xdr:colOff>742950</xdr:colOff>
      <xdr:row>8</xdr:row>
      <xdr:rowOff>104776</xdr:rowOff>
    </xdr:to>
    <xdr:sp macro="" textlink="">
      <xdr:nvSpPr>
        <xdr:cNvPr id="3" name="Tip" descr="Replace the sample data provided below with your own to calculate retirement age and savings.&#10;">
          <a:extLst>
            <a:ext uri="{FF2B5EF4-FFF2-40B4-BE49-F238E27FC236}">
              <a16:creationId xmlns:a16="http://schemas.microsoft.com/office/drawing/2014/main" id="{00000000-0008-0000-0200-000003000000}"/>
            </a:ext>
          </a:extLst>
        </xdr:cNvPr>
        <xdr:cNvSpPr txBox="1"/>
      </xdr:nvSpPr>
      <xdr:spPr>
        <a:xfrm>
          <a:off x="8029575" y="1266825"/>
          <a:ext cx="2609850" cy="285751"/>
        </a:xfrm>
        <a:prstGeom prst="wedgeRectCallout">
          <a:avLst>
            <a:gd name="adj1" fmla="val -51613"/>
            <a:gd name="adj2" fmla="val -16707"/>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91440" tIns="0" r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800" spc="40" baseline="0">
              <a:solidFill>
                <a:schemeClr val="accent1">
                  <a:lumMod val="50000"/>
                </a:schemeClr>
              </a:solidFill>
            </a:rPr>
            <a:t>Filter to only include "show" when all entry is finished</a:t>
          </a:r>
        </a:p>
      </xdr:txBody>
    </xdr:sp>
    <xdr:clientData/>
  </xdr:twoCellAnchor>
  <xdr:twoCellAnchor editAs="oneCell">
    <xdr:from>
      <xdr:col>0</xdr:col>
      <xdr:colOff>0</xdr:colOff>
      <xdr:row>0</xdr:row>
      <xdr:rowOff>0</xdr:rowOff>
    </xdr:from>
    <xdr:to>
      <xdr:col>0</xdr:col>
      <xdr:colOff>304800</xdr:colOff>
      <xdr:row>1</xdr:row>
      <xdr:rowOff>85725</xdr:rowOff>
    </xdr:to>
    <xdr:sp macro="" textlink="">
      <xdr:nvSpPr>
        <xdr:cNvPr id="4098" name="AutoShape 2" descr="data:image/png;base64,iVBORw0KGgoAAAANSUhEUgAAAGYAAABcCAYAAACcPsCpAAAgAElEQVR4Xt19BVRUW/v3b2YYugSxEwMVGwO7W1ExMbG7uxNb7O4iRCQUFBtMLMJEbFFBOgYYmJnzrWcPM8zAEN6r7/v+v2etu66cOWefffazn47N4ziOw/8BkCUlgaelBZ6hIZut+KIXeEZG0O7Smf2dsW8/wBdAb8ok9ndWwDVwYjF07Pqwv7l0EcABPAOD/wNfC/D+VxEj/RUDWXQMhPXrs4VM6tUPXHQMjC9dBCRZSO7cGxBnQX+bE8DnI33OYoAH6DtvAqQypM9fCujpwiQwgD2f0qMf+KVLweTqJfZ3dmgoBNUswTcy/p9E1P8MYmTJyZA8fQrtTp3YQiU2bwPuRzSE/XtDu0dXiCbOlC+gjjZ42trgUtPkf/N4DDGQSuV/CwSATAYoGIGRAUMgsrKJYGDkcgzis67I9r8BXtlSMA2+Bx6PB/GVKxA2bQp+yZL/E4j6ryGGOCiXnASeiSltdKRv2YLMvUcBE2OY+F1Acuuu/5EFMr7thxT7YUBiMnQXzoT+jBlgcyPWaWrKkPbfgP8aYqTfopDcoj341lYw2LQeqX0GyXd/AcCBQwaPh1Q+HxzJCSNDiAz1kaqjA7GWEDJOxp7k83nQycqGUVYWDNLSgdQ08ERpMJJy0CcqKmyheYCRlxvSF6+A9G0kTB7cgqBixf8GXv6zMibT/TyTGzpDB0Py9BlEk2cV+NESAJF62pDVtYaknjV4DeujbJ06qFatGrS0tH5rsSQSCT58+ICfr16BCw2D8OVrIPwVrMTZEBB/K2A/GBzYCa0mNhC7nge/bGnoDh3yW+/9Nzf/dYohtqBgB6mO45F9M5DJAZ6RIbik5Ny5cxwSBTy8sLZCxSGDYdDEBjVq1YKAZMZfAJlMhog3byB68hTf3c+j3ut3MJWqUxSvhAm4lDQmv4TdO8PoyAE2E9Vv+gtTk4vOv62VJbXtCJ55SehOHgfR7IUAsRcVyOY43Chthjorl6OcbXOULl36b31roePGRMcg6sEDRGzYhE4x8RDmISNeKXMYOK1G5qHjkKWmwvTGlb86z7+KGC5LjISqdcAjuaBCOfRFyTzgWt8eGLVxA3QNDIolZBMSEuDm4orbt2/Dw/OCxoWZM3MWrl+7xsYzMzeHtbU1rGrXgo1NE7Ru07rIxaR5ZqSl4eziJeh8KQCmCiuPFAKmBPIAoQAlPrwp1pyLfGEBN/xxxMhSkpFYuzH45ctC264HxIdOKl9N4vmnvi7CxgzH8EWLivyws2fO4uKFCzAwMMAZl3MICAjA9MlTcPtuECpUqKDxkwbbD8C6jRsQ++sXHEeOwsrVq1C+QkWsXb0a12/dRK3qNVC+QgXMmDUTnTp3hpmZWYHzICSd27ARDU+7omx6Zi4NcYDuzAkQe3hD9jMGZt/eF/ktv4ugP4IYVWqQ/viO5Gbt1LUfjsNPAz28Hz4EvZYu1ii8iee/fPESAQFX0bBRI3Tp0gU3rl3HpAkTsHHzZgweOgSbN26EoaERps2YXuR3epw/jyULF+Gsqwvq1LHGDmdnzF+4APXrWMPQyAgXLl7EsKFDUb9+fRw6eoTNiebAJ5soD2RnZ8N/w0ZUd/FAWVGmmrLAyWQo8S4EfANjue30h9TrP4IYWWY6Ujr3gqCuNfjlykJ8+KRy8qng8LpnZ9isW4tSpUppXNCsrCyMGT0aNjY2bDevWLoMr99FsMWqXdMKtWvXxnnPC2jTshUCblyHsXHR1rrTuvU4fvQonoWFwtTUlL2XEN+vTx9MmzkTc+bOwf59++G8dSvuPXqIkiVLolf3Hhg0ZDCGOjjAMMf1ozrhXzExeLZ6Haz9AmCowuJ0ZkyC7NNnSF+9gendW0VumuLc8EcQQ06ohMpWgEzd7RZW0hTmO7aiXrt2hZK6r48P1q5ajaehIUwWpaenM/ZF0MzGBnGxcWjYqCHCw8KxfecO9O3Xr8hvIzb27NkzhL96qXz3mFGj8eD+fYS9egldXV00bdQYiYmJ7L30/26dOsO6Xl0479yJqlWranwHzS/s9m0kzF6Ahokp6vcItWD28U2RcyvODf8KMRl79kJgVROChvWR3KIjc3sQEHru9OyMHs7boF8MpyGxq+BHwQh9EZ5vzo6jRuNeUBCjmFkzZuLnjx9w2rQRQ4YOLfT72rZsxdhK0P177L6UlBQ0rt+AsaoyZcsyefEt6huOnjiBDh06oGunzvj08SNu3rmNylWqKMd+ER6OmlZW0NHRUXtfeloa/OfMQ8crN3PZF/nm7l6DNCwcktdvoT+7YDutKOT8K8QkWjcGl5Kq9o40HvBp73a0s7PL9+579+7BccRIdp20m63O29Gvf3/s2rkLu3fsQMCNG6heo7rac3du38b4MWOx7+ABdO3WDa1tWyAmJgbLV62E45gxGr+PZIJVteqoW68efP0us3uI2uz79sXU6dMxaowjbG2aIODmDWawxsbGokXTZmjarBlcz7srx5w3Zy58vLwYWwt5Ea6R6u/6+sJy+jzo5fXR6+rCLPJFUetf4O+/jRiOnIV8PptkYuMW4GLjlINHmhqhtNd5VKmuvrh0w+VLl3DezR2nz51FXFwc7O364vv375g9dy6GOAxlC2NRqhQePXmsHM/NzQ2DBg1C3Vq1YdOkCdPMSB41adgIQm1tdOnaFZu3bsn3cVs3b8aF8x4oYWYGTy8v8Pg8jBoxAmGhYXgd8ZaN0cC6LhvT/YIHOrXvgM+fPuF2UBAqVa7EED9q+AgMHjoUG9avh+MYR6xYtYq9RyqV5jN6v374gFi7gahKxqgC9PVhFhHGFAJSEHi/aSj/NmKSuveC7G0koK8PiNKVcuV55XKof8EdpcqU0bgLxjmOYXyddj5BUmISOnfsiNSUFFy5FoClS5bi6ePH2H/oIKMMgnq16+DIieMg24QUh5lzZqN9+/ZISxPBxKRoBUAxkaSkJLiecwFR37YdzrCwsGDIFgqFjHW1b9MWNk1s4OLujqtXrmDHdmccPnYUx48chcu5c4yKiJoI9u/dx5DXu488zqOA2JgYvOw3AA2iYuSX+DzAUB9Iy4CgRROYuJ37Ler5bcSIPTwgmrtU7SX361qhvbsLjFS0JfJPffz4ETVr1mT3zpw2nS0M2SDm5ubs2uvXr9GnR09UqVoVl/z9YNerN758/sy0ouSUZPB4fKxeu4ZpVX/Sy0tq8fZt23DR4wKkMikS4hNw524Qtm3dhoz0dCQnJ2PxsqWYNX0GJNkSBD24x6jk44cPGDJoMBITEhhLnDt/nto6pKWm4kb/QWgb8UHtusHh3dDp0ePPI4bjZODSUsGliSBLSUUqBalyIMDKEv0veUNXT095jTQX0oqMTUywe+8etqi3bt7ExHHj0aJlS8aSCOi+xQsXIeDKFYS+fMHsiJDnIRCLxahRswZTYf8kQvKuDL3/yZMncN62Ha9evMDAwYOxYtVKiEQirF65ismXuQvmY+q0afjy+QsG2tsjKTERR44fQ7v27TXOTZyZCY+uPdDzU5TydUb+F8G3MGfRU56BEfOEFAXFohhOJEKCVYMcy5entFG8Sppg2P0g6BFbU4FLvpcwe8YMdoUMuPMXPZlNMnf2HFzy8UE/e3tsc97Ofg8LDcWEsePw+Pmzoub6V39PTU1FeHg4WrVqxd4z1tERQXcCcfnqFbZBunToyDS7g4cPo0u3wmNFRHVuTW3RNyVDPmemGHBsI5Z4Gwq+kVGR31IsxNAoyf0GQPosV519qasFm9CnSnsj75tGjxgJLaEQQXfuMGs94OZ1xsIG9O2HFy9eoFLlyli8ZDFWr1qNiz7eKFu2bJGTJYoiwU2sJvD2HQQFBTKBHhUVpXSXSGUymJiYMKPUtkULdOjUETVq1GDqbnHDBf362OHlixeoammJC14X0aFtOyYL9+zfh+7FZElZYjHCrBuimpgCGHLQ6tAaxqdPFPmddEOhiOGysiD9+hVcfBzEPpeRdUauSiaRXHtwG6VU/FWkogZcvYqWrVqhRIkS+B4VhWlTpmL8xIlYvGAB02ZOnD7FFuuKnz/OnDoNm6ZNGJ/W5AZRzJ6e+/btG3Nenjl1CpmZmdAWasHIUB/6ejooYWqEMhamMDbUA1/AQ0ZGNmITUxAblwxRegZS0zKQniFmwzW3tcXM2bNQu06dIr0Hl3x9cfb0GSZXaCNs37EDffrmNwEKW+WYHz+Q2bwtjHK2jc74kdDu0Q08M3MWgOPlsY1UxyoUMbKYGCTZyA01BZAj8vXh3WirsnNI0DsMGYqQZ88YuZJWNXHKZNy+eQt6enro3LULs19IDR05ejT629ujfgN5kkVBwDzJrq44sHcfMjIyYFm5LGzqVUeHVvVRvUqZ35I9KWkZCHr0Eg+evkH4608QZ2WjU5fOmDJ1Kho0bFjgWKTWk9rcqnVrLFuxnG0uYme08YoLAT4+aDRjPrRU7BxaI9MndyEohEsUTjEch5RBQyENfq6ch2efrhi/b6/axxBvvn/3Hvbv28eE+/27d9nOJrdGdHQ0/AKuwtjIGCOHD2Na2vadOwtcDOL1a1evgffFi4wihvZrh86tG6KkWdF8uTiLJZFK8TjkHTz9HiD8zSfUql0bCxYvQtu2bTXOiTjB8qXLGCsjz0Cffn2ZMvA7cHzCRPS9elvJbrU6tYXRiaOFbi6NiCGDSPr6FbKD7iHrsj+kL96yeTwW8tDtQ0SBA0a8jWDOyOUrV4AvEGDtylX49euXUhN7/eo1atWupZF1kfzYtmUrczySCbBmwQg0qmsJQTE0mN9ZJNV7f8QkYP8pfzx69gZ1rK1x8sxppSqveh/tcDdXN0glEgwfOaLQBaXvePPmDYsDqbLjB9YNYC2Ss1RBQ2to9+wOYdvWENSWx6vygkbEyBITkVivCbMjFJDFAzJuXUFVDVa96qDEj8mqH+zggPETxuPr16/48P49OnfpUuD6EXvo3L4DiH3Nmdgf3do1gkBQtEr5TxGS97nY+GRMXLgXmeJsrN+wAQMHD9I4tKaQMiHi4YOHOHniBEJDQhinIJX5zr27KFeunHKcl6FhMLUbCH011w0H05dPwTeRe79VoUBWlnHsGDJWb2L30oTONKiN2X7yZLniANkspEZv2LQR+vr6GncZjRsUGAjyCliUNMXZPfPA/0PxjOLMMe89x91uwM37Dpra2uLk6VPQ1tbONwzZM+vXrsWv2F94F/EO2kIhlq9ahQEDB8DdzR0rli6FZbVquHbzRr5nj/bqg/7hb5UsTd9pBXRHjdI4VTXEsHyq1FTIvn5D1rVryNyxnz0UryNE1bfhxVY3FW8iu4XAeeeOfC8nQbprx04c2LcP3TvYYO7Eol35/2Sxf/eZyE8/sXD9cRgam8Ln8iWNrI3cMkQp02fOwFX/K3jw4AHKVyiPLRs3wbpuXaXjNO+709Mz8K1BU1hkylma7txp0O7SBfzKFcEzNFLbvOqIkcmQ0m8gpCG5XlHSwnyH9sdYDc7Coj6aXDKkAOS13gkp69asgds5F8wc3xc9OjQuaqhCf8/IFOOoWwDat26GetU1++p+5wVJKSLMXnkYYimf2TF5w9g0f9JEyTYiBHXv0gUfP3xE4yY2cPfwKFQGnZkzDz0v+KqlepAvzdjdpWDE0OQlERFI7tRLeVOSrg4qvg5hDj8FkJCmmHneGEVxPp6oct2atTh3+jRWzx8O28ZWxXms0HsuXrmP5dtOo15daxzbMAGGBrnuoX86uCg9E9OXHUSWlI+Lvj4oo8E5e+7sWRZH8r98GU2bN8dZl3PMp+bn54f9e/aCNDrynvfo2UO5nqT6RzVoBvOMTPnUOA7Gt/yhleNTVMw3n4yRiURIGeQA2Ys37KGLXdpi/Injat9Xx6oWs9TJXU8xEU28uKAFoY9ZuWw55k8ZgO7t/xml/IpLwovIH9DicWjWsDoCH73ArFUHYGioj3sXtiE6NhGfvidAT0cA20Y1f8vmUZ13SmoGJi/eixIlyzD2lNdzQJ7o6VOmMvbl4u7GvCBMC23ajN27Zfs25o0mhFFIQwEuox3R/eY9Zh8KbBrA2OUUePrqVQhKxEhCQpAyYhxLKVUkZCcI+Cjz8lm++DftBFIdfXx84LR2HXR0dbFm/Tr06JG7MzQh5kX4CxassuvaHNPH5DpCVe8NffUBM1buR9/ubVGzajn07tREqRBkS6RYucMDl68HIjtbwhac1OnqllXw7sMn6OrowMysBL7/+KlMlypV0gxLpg1F93YNla8havC8Hoqw8HCIMqXYvWo8tLVzOYLqfH7FJ2P0TGcMGjIE6zY4qX0WUT/ZXC5nzzJtjvIFyKOxZtUq7Ni9G33s+jCWN8h+ALx8fZTPxv6KRUKTlrBQaGik8JgYw+jMEQgbNmL3KRFDL0kZPAzSR0+VAzypURXdbl1Tmwz5qth/YjHEWVlITExibgvy0H798hnVqlfHOVdXlLRQz5onj3H71m1Q2lwfO1ZP0EhQNIc6nSZAKuVQsZwFHOza4cLVx6hV0xKpael4HvYSpkb62LjIEc0b1cL7zz/gtMcNT8LfsUhkXFw8JNmZmOjQHSMHdIZUKsPu495wvxyECuUrom4tS3z8+gOxv37i8MaZ6DVmFWrXqoVlk/ugacOCWeqNu6HYvO8C85X16NlTbe5v377FovkLmKJA8x8/dizz4718+4ZRjU3DRjA2MmLqs2pW6d1uPWH9OlI5lla7VjA+m5vqpcbKpNHRSLZtx+pLqKjh7oaVsB8pDwUTxMfHo1ljm3ysgSZkZGTE4iYVK1ViUcq8An/Lpk04deI4Tu+aCzPTgq34iI9R6DNmFR54O6MkpahyHLwDHiAhKRU9OzZD2VJm+ZB6+WYwVu9whaGBDq6eWgddXXU1lwT0nYfhePvhG9q3qI86NSqzMTbudcOdRy9w+cQaCIWF50Ov2nYO7z7H4mbgHTXHLc1v6KDBmDRlCvMPErWQE5Wyc+g38mSQLM4rj72OHEGbtZvBBw+cUAumjwIhUGF3DDGcOBNiTy9kHj4B2YdPbNIJOtqoEhEOrZyQKL2EvK4UyCIjqq+9Pezt7VG2XFkmb2h3FBQ7ISOTDEiHfu3gOFhe/6IJ6B1LNp3AjXuh2LRkDDq3lpN1UeB+KRArt5+BVY1q8Ng7Hzo6mtlS3nF6Oa6Evq4ODmyYjpJmJoW+Ji4xFY6zneEwfCTzbKgC+dTIbqMQBuUZUC4DUfA8CnP4+rJbFy1ZggmTJirXiNbwk3VjlM5JYOHXsITuxLHQse8HnraOnJVlh4Qgte/gnLiB/JVhVSuiQ1BujhQtGqX4kAOP0oK8PC/iWkAAWrVuhQmTJqFOnTrMyafJtb5q+Qpc9fPFmd1zC92Z5Anec9IHN++FoIyFGU44z2UGXFFw+UYw5q0/AlNjAzz03slKMYoCorL6tari09donPS4huPb5xWpJBxzvQaf609w/9GjfN7py5cug3INSAvrb98f/n5+LGpLrH35ypVwWreOKQElLSyUU3vYqRus3n3MnaqAD2Of89Bq0CBXxogv+0E0Zbb8Jo6D3+ghGOmkLuzyfizJjU+fPmHLps0ICwnB6DFjmFs9725q1dwWowZ1wrB+bQtcL2I3w6Zvwtk9i9Ci7xzcu7gdTntcsXaeZstYdaAbd0MwZ+0hhswLh5bBhKrICoFMcRamLNmD49vnIvBRODIyslC5YikliyvoUdo4gyZtxLQZMzBzds5a5dx8xf8KHgcHY9Wa1YyF2TRoiLS0NCZrSGul4GFSUiJGqlj65xcuQmfXi8rXGRzcBZ1echmWq5VFvEWK3SAgPROpPCDJ14O5xIsL27ZsYaHZKio5WfTswQMHsGPbNvieXAVtYcElFQ+fvYZUxqGFTW30HLUCAWedsNr5LKY72qGkWdGJF0Nm7US7prUxdYQ8kaMwIK1vz9qp7BZyYNra1MaAietwZtcC6OvpFvrsrmO+eBH5iyVxqALV3yxasICl3oaGhmJgv/7MFRX++hV+/PiJti1bMva/PSdyS8/evXcPlsPGyFOfjAxg7OUOLSu5EsKTxsVxyXYDwH39rnxPtL4u6kTkWv+0AzZt3ITIiAh8+PgRX798YSqsqkyhYNebyHdqmodCLpnoSrFm/vACPzgjQ4yx853hum8JyC3f2n4eHnrvYOOPmr2V7WyFrCtokOIi5uv3X7h04xGmjbZjO9v/1hP06tQM8YkpIFk1dZR69kve94W/+Yy5q48wj0Cjxrl2GI1F2TwKmUJI8b8WgIqFVKQRlwivWReVxPJESQJ+lYow9vWUU4xozXqIj1C+sZw3f69UAfXu5+4IYlmUh0X2S+06tWFgYMh2Q/CjR7AfNJD9TbGKw0ePqH1HdHQMWjVvjjmT+qNXxyYFImbvCV84Du7CLHaJRIpejitw9YwTQ8yDZ6+RlS1Be9vCA2vFQQwhffiMzXDfL8/yocX0uByEwX3asb/nrz+CRVMGwcI8v7dXMXlSwfuNXY9BQx0Y28oL5IYilkYe80cPHyEmOprJ5W49ejBHJ62bKoS26oBKX3MSNziO1RHpL18iRwxNULR4GbJcPNgzwY3qoYdvLu+ja6RFkMMx4GoAps+YgR69esK2aTM8fBzMBD79TnljquB5wRML583H+UOLYWYqr8/PCzGxidh5zAsz50xDae0MpkD0GLkc1102KCly6tI92Lx0HAsnFwTFQUxA4FNUKGMBayu5ukzg5nsHQ+3as3/Toq/YdgpOCx0LVQRWb3eBSKLDqEYVaB1PHDuGDeudGNJJtlAOm7aODighXVtHG7cCA9UUh8CBQ1EvWJ6Ioj1yCAyd1jEC4ckkEi7daRPEJ88C2fLEgVu9u2LggX0a14B8PRc8LuDo4cNMN/e7eoUFvhROPdWHKPJ385ofXPYu0DgWLcTMtcdQ3nEP0jk98HkyGEME/zUjMGfbIVTQTkM5HRG0M+Nw2vMGZo0t2ANdFGISk9Ow0OkojmxRF9puPrcxtG8H5fxcvG/DqloFmFasi7RsARpYqFfA0Y0el+/D/fJDPAsNUfsuSiwkO49yq9u0aYvSZUorEUyIIncUbd6Bg3LjPZenTEPLyzlGvLYQOmNGQn/pIvDSNmzkxPuPqb3g5rTxGLR4UYG7k34g69/vsh/WrFzJ7vP190OlSpXUnnEcNQrilBhsWKxZswoKfoEEkRShlhMh5XjMEySTZOHmmqHosuaCvHiALnIyhJxzQt0uDjAuVQF8yKAvkMKIn83+TT4zH+e5sKzbBI27DUZTswSU0xdDX0teyUywYY8r5k4cAF0ddePT1ec2HFQQQws4YeFOlOm5FglSY6xvFQUzvZweAjljPXz6Fiu2nsGTkOes8EkBRBXDHYaxAilNQOGBO7duY+nyZcqffdc7obVKcRf9oDN1vJyVpR84hMyN25gdQwVtgU4rYa+i1tFO8LroherVq6FNW3WVd/3adTjv5oaHTx7nS2WiepNq5Y0wZ0LffPMkfxVpR4vWrMHZmFrQoR4KnAwyiQTBe6ah0bQDMNDiIVUsZWyB5vbk8Fw0Gb8VHMeDtoAHcbZUPmeOw6cTk2BcvSXMWo7MuZ9DRnIChJ+CMaKjGYLvBWHK6L7g8zhoqQRHyTNt30OeS0YbIVsGBL7NwO6LYSjbuD9EkffhMttSbf7vPv7AtKX7cdHHRy2phGQwyeK1Tk7o1r0boxbawHfv3sXuHTtZfrSnjzcaqmi7l44cRqs1W+TynceD3pJ5rO0KQ4z0xw+kDhwG2bfvDDH39znDTiVb/8jhw7h2NYDlFRPPVIVHj4IxcexY3AoKZIlxqtCuVWu0aVIN4xzyJ8id9bqFdq2a4ERqe2RK5TWa7D+JBA+2O6Ll/NPQ1xJAROyVbXwOP8PuQEvPEGaWjSEU8CCRyOT+Vo7Dx1OTYVytBUxtRzBkUWQ6WyKDFmQIcVmJ2v2XIvr1ExiUsMDx4drQZnXkwMnz15nikZENLA6qAA5a7PlXl7chW8yDuakpvDaqeyu+R8fDcfYOHDt1Eu3ayRUHBXz+/JmF1kn4K4C+iyoGKJWLgmuq2qyfuzts5y1j1/hVK8Po/FkIypQBL9PbmxPNXgRI5OQq5QFPj+xFj5zEbrpGDkpKQiioorhv7z7Yd+AAKlRUr4ts2dwW3drUxaiBuTycxiMPsovPHThMWwDPGEtkSySQZKZDmi2GJCMdd7c7ot3Cc+BpCaGrrQM9XT2IsmQQ8DgEH52P+oOWwNDEHOlKauLw5dw0GFS1RckWI5gTlIx/Uke/P/OHlp4RMtMyoW1QAiWrN0Bjw++wt0pgwn751lOYN3Mcbn3UQ0hKOfD4QugJBcgQpeCd5zIc3TAe1SuqpyvFxqdg2LQtagnwqshhqb4hIfgQGclSh62srFiNjSaXlb+vD5pPm58bOBMKYbBrC3iZvpc4Vuad47Ohzfno0G707pmbBP32zRuMcBiGWXPnoGnTZihhVgLZWVn48uULoyTK/6KqLHJkqgIVD7VrVgNjh6onYmw96IGb98Mg4WkhJi4FWekpBdbO027jC7SgbWgKPZNSSE/4gYZDV6FcrebIzCaKkVNalNsM6FVujnKtRiJbKmOUT27JewengC/UQVpcFGRiESRZ8rRVTYvE3kWbwcAUQn1TpMdH4dKx5bCspB4Vpeya0bOccfTEcbTvoL7pyGk5e8ZMpjKniURMMyNbhpJR5sybm8+Z6e/jjebTF+QiRlcHBju3qLCywSMh+/KVpdne3bWZ5RcrgHbAoYOHsH1L/loU+phjJ0/kmyA927NbN9SsZIpZ49QzGF9GfIb9xHVF+qbyCSYSjIZmaDPfHfq6usiSyJv5pES/x+PDU2FSzgo2js6QcPwcpQFI+fwMT88Wrshoeg9da2RdDef2LMqXQvX+009MWbIPF7y91OQFqfrt27YDZf0TIihwFhcXi7CQUPz48YPlD9y4c1tNXfZzdUWLBSuYfOFXqwoj158K1xMAABniSURBVFMsEVAu/HfvRea23fIiG47DnTVLMGDcOLX5Mhc2Jb19/oyXL19CR1sbjRo1QmnihzzSqOR8VBVGDhsOTpyAdQtG5Bvr0/dY9J65F9KEHwWtS77r5Rp2RUP7+eBr6cp3GKVUiSX4/uwy3lxyhkBLB50W+yKbIUauFOho8RAf9R6hrgsgyVQpLCrkrfQcxXRmju2nMYAWHPIOyzadYgqPasEv1Yr279cXgXfvquXO0XjkNyMP9JBhDuinUkN6ad8+tNq4Qyn8dRfMgv6MaeClLl/JZZ04p5YGe2PMMAxeu0Y5ddoJpHFoCbSQLZFHLz9++sQCQvfv3cPzZ89YaLVJ06Zqn7towUI8DLqJU7vm5lsG0oB636uKWnp6yBYl49fre0iJ+QJxchwT6NraAmgZlYZJ+ZooYdkEejrayMySsmY+8REP8SPkCpK/v4U4NV7JBpn2BmJHOjAwqwBzSxuUtekHob45U3qI8rPTYpHy5TmSY78hW5TE3qWnqwuegQUMjEojK+MHDk9riAqlC06D9b76CCcv3GE1o6osMfpnNPrZ2bG6T03h9p/R0bh4wRPTpudmcl5asRKtTrqqKQq6Y0eAJ5PJuPQNmyE+flopZ253aIUBp3OjaaQuk7dUE1+moBBRyriJEzBq9Gg1BFA11oqly+F9fDkMDfI7Bz0+GOB+XMUcSgV0BDyl3NDi8yCTcpDk9B6jd8ukMsS+CUK4BwW2hPLQsoDKDuWlhwrZQQiikHP58uXBCQ1h2mY+hHrGDIGkzRGC5f+Wa4OkvbHHZRy0Y27i8LT6hbLZDXs8EJsig/cleaxFAZQOTCUlhBRPby+13xRZpufcXNV8bH5jxqPFjUD5vTra0Bk3GvqLFyhcMjKIlq5A1tnz7PfwerXR3j/3peQro9K43nZ9YGlpieo1arASherVqzN3DNXP+3p7Y+mK5WqToaBax3btsWTGYHRq3SAf1byJ42PtQwtYmMkjlbR9ddhC85CRJWHXBLRiJJR5wMd77nh77eBvyyaBth46zPbMQYjcVhPm2A2UR0Bsj5BD70n+fBunptWCmbF6lbJi8jIZh4GTNqJ7zz7YuFmeEKmA0ydPMeuews916lqjrnVdlCsvz8b8/v0H4uNiWa60KjU97NMfVqEv5XgZORT6TmvZ98mdmCtWQ3wyt0bwJ/mTnjxQIy+qaaEipLzg7ubGqq8onk2krRooo4Xt0bUbypfUxfJZ+VtKZUqA/sc4CHQMUblqGXmgjuOgry1AGtWVMJknv0Yb+st9V3y4o56xk29CGi4IhLpoMolKSMi4pGAuIOCBKQ+K8emxlOivSIhwxfl1w1hugiZ48z4KM5YdwBkXF7Rs1VLtFipVfB8ZyYxKAvp+A0NDtoGpGvt95HtWz6kaZg5p0gKVY3IKjGljThgNg1UrwJPGx3MpAx0gi8yNpEVrCVAz8mW+aCTx6LGjHfHz50+G+W49umP29BlM0BHpUhpPXiAb6MTRw7h4bJlG1/3pRzIcfsyHfgljVCtvrkQC7UwFYnSFfGQwm0WG9LivSE+IQmb8F6TFf0e2KBGcJAOSbPli8IW6EOoaQWhgDr0SFWBoURVCo9LQNTCDlONA42oL+MjKlkLA50EilUFGmt3H50j7+QVDOppgyoBGBVLlkXMBCHwSibsP7qsJeHLiNm1sg8B7d5kMjo6JwfOnz3Dj+nXW9IE2Q/1GjeDpdVE5NikEFF4ur9K4gm9VDcaebjmsTCaD5N07Zv0jORUUHXh2aBd6qmSEEPbrW9dlxaOEcfOSJVkzhBpWVrjo7cWcc8HBwWjevLkabqjoiLJjZoyzQ9+u6r8pbhRlAaPPCxH7Mhx8TgyL2o1hWqY8+xh6r64WH+lZue4Xeo5khapLRuFOYp1iiVUJ+HIkaPGRmp7NZAgnk2ud9JucWuQdlURfQpHwIQxOU5uinU3ZApFC4Yf+Y9dj+KjRrF5GFSjcTuXyXp6e2HfwILp0zbXdaEOTOLhx/QZLaVKA90VPtJ61GOQh4pmbwsj9LAQ1arDsf2UEU3zpEkRTc7Un/06tMeJkblkaaWY1LauxIlaFITl65EjMmTcPnz9+YlXA8XFxePHmdb46+NkzZyHk8X0cd55dYDw+PpXD4hOfEZ+cijiYgGdUGgYm5jAQCmCqz8fPV4EwNLWAaVUb8MBjuzwzm6hI4eiUL7KCynS0+BBnSaEl4IPkCCGGPAI52M5xkMqRmBDqg21TGqF+jYLjMDS0u+9dHHe7jgePg/O5nxSLTd538pdRZiYlpqtmsOblJhdGj0XHW3eVlw32OSvbEecmY9gNVt/pZUuhweP7atcmjp+AtevW4e3bN7jk48uidbQbaOeR8WRRygKbt25D3XrqLC0iIgK9u/fAhOHdMai33GFYGPxMzIbzHQ7BUbqQiTKhlRiBrF/PIBDowLCyLSzqNMuRR3JBrrBZFDKKEERaHSGEaV5SMURJcchOT4SMEwL6FhBIU8EXGkCgawz7umlwaFp446Q0USZGzNiGnr3tsHHLZrXpU6UcJarUqlULYWFhCH74kGXLzJ01G2dcXZiM0aTRhtu2QYXv0blj8XgwunyBtTSWB8ok2cjyu4LMQ8cgDX/NdlUynwfDpw9goZK4p2jtoRipma0ta4hAVq6WUAsnjx/Ht6/fWPOCvBOh2IyfrxfLKytubnF6FhCVIENsQhrqV9ZFUpoYc49GId2wGniin8iIj4Z5nVbQNiBVOJdaMn+9QGbsG0BoDpmWKbR0dJH65QnLlxMYVUa2QUVwX69Au0QNGFVvx+a+o386KsnbD2iEzfs8ERz2ATdu38pXAbBn924c3H8ADRo0YIW6dn3tWL8a4izr16zFmHFjMXnqVDWZRCld2W06oQT5wEj7bFAXupPGQbtXD/AEWurFsSzhr0V75tCk7/R3dMDIdWvVJlq7Rk3mI2rc2AZ6+rnJ25T++u5dBHy9fTBuwni0zeN1paIkag1S36oCVs8bVhTRFPh7hliGfpt/Iu3Lc/D5AmibVYSFdUvw+AJkpf5EXNg5yMQxEOpYANqlIeWbQZaZAHM9EbbO7QkDfT3Ei3j48uUrJDxD7HpcEqYGRjDQ5nBkRCb0NGRLPXvxAUs2nMTqtWuZM1cVSIB37tAR5mZmTClKSk7WWONDSRmqYWX3JUvR+ayH3IOhLYTJg9sQqLSdVEuRTR0wBJInuVG5L2VLoVEedkYLTMEhxf8pckkkO2b8OOaiyRJnYdCAAUxLy5tjFhQYhLGjR2P8sO4YYld0G8SCsPMrWYL09ExULKUPZ89vuPnJGCblqiD+5SVkxdzHikm90aZxLSIQZEs5JKeJIeRzKFcqf7bNoCMSxOiboUSKGCdGiGBmpJ6RSSxs1CxnNG/ZCvsPHsxXpkjdM5atXMFcM8TSibWThpaZkYmMzAxWXSYSpaNe/XpqXCSkeRtU/pHLxrTa2ML43GklP81NXwoPR8qg4Sx9SQEiADFermjSRD2RgrQzoZYWHj19AuoBRtoY9QWL+hYFh8GDQZ6CZStWMBLOC7ucd4BI33nNRNSzUo94/lMymnE0FuGfRehYOQarJmjW/Aoam1hgb29jpIS+gddcM5Q0US/hGDdvN0MsCfy8aa5UDUfmAwEFEI+fOqlcfNJeZ8+ajUNHDud79a1bt2HlOFG9Y5OhPozdz0Arx1bMV4ZBBxWw5PLn8mYL16tWwJAg9RyqzRs3obltc+ZRJmNq08aNOHX8BJsUeVR79urFmi+QSpk3QYN2FZUu3LxxHfs2TMnnUv8nyIn8mY3VrjFoXSUJU+zz21LFGXOrTwJmdDeGro6cYqiaYNaqI/genchKMKjfTV54//49+94ZU6YyoU/f1qt3b9apybykOSaOG4fQkFAEP3uqRmmXO3ZBy8jPbDhBy6YwPnOStcVXhXyIkbx9ixTqFZPjexLx+RAGB+Yr3KEg2Kw5c7Bh3TrWe4VaUFHfypmzZjEVkcoToqN/Ys++fflURnKIUt3lsyePsXn5GFjX/DOUUxwEFOceytRc5HQSn6PimKWe13AmduV18SIGDByoHO7D+w9Ysmghnj19xpDgMHw4IiPfsRYn5E9UALmpuHZdYZxjVBIyTW76KRP9FPflL/XrP0hJLewmjkNAo7pwuOSt9k3UBWPa5CksoXz6rJmwHzCAIYBkD11/8vgx+yBiZ9QsLi8QpVGN5vWAq5gyqhf6dvs9FlScBf4n98TEJWHB2mNIF8tw3tMT1apXyzfMvj17sW/PHqxau0at0yAtMhXMUp4yed2HDh8Gpw0b1J73seuPNs9fqOnmWi2awKioUj+qKJNGRrIa/8ytu9ig6Xw+Uq96s/4sqkDaCPUaUxhR9+/dx4ypU1mLj7nz52PSlMmFFtSS4nDs6FFs3bQZzRvXwroFw3/bQflPFr+gZ64HhWLnEW9UqlKVdYjKm99Az5EWRr3PTp04wZpLNLaxweGjR2FaQm6cknyl9aCqMuq9qWo2kHfAwt4BhjnUortgJoRt20JQozr4eVpUFlxOfugIMtbLI5akOj8xN0H30NyiJjkx5baHX7FsGdxd3RgiPL29YVnNkjVUoA4Xm7ZuYT2ONQGNQby6e+curBPG2oWj0LBObk/KP7nwBY1Fsf8pS/azzP/J06Zh9pzZGjcUuZcOHTiA0qXLME6wZ9cuHDtylCGCSsoHDhqI0cNHsHi/m4cHGjVWLyO527QFrH/GKqlFf80y6I6VKw95QXMDhoQEJNZvpoZtVr28YAbGzsw5xyVnpOVLlsLDw4M57urWrQs7+/7Yu2s36xL+6cMHlCpdCncfPsSDe/fx6dNHjHbUPBFy+VBToBvXrjEEHds+C+Yl1Eus/zSSqKfMvlP+uHLzCRPiV65fU2uaoHgfbR7q23zV358ZsiQnaL5Lli1D125d0adnLyZnKbZPJX3U1zmvqXB440bY7z/O/GKq45agBgw57YdVv09zyxLSx6O+IuvaTYi9L0GWEy8QU9elV8/zJV0MowY/z5+jcuXKmDN/Pjp36YxhQx3YNYpsUoeI4UMdmLpJsogM0IIOUyDvwvAhQ1l3QHMzYyybORg1qpaHbjGLkYpCHjk2SY6c87qDgNvPWBUctXSk8oiCCq+IohfMnaeso6S50RxprqMcHZn2SQ3xyIFJ8apreRL+iL2JGjWHHsV8SBNrXB/afXtDu2sn8MtX1PjeIpv85DU6/UuVwNDgB/niLiTMFXr+pg0bWQrtwsWLmf9s+9Zt2L1vL1sEashGIQPqDl5QG3ia/OdPn7FpwwbcuXMHkuxstGlujQ4t66N2jYq/TUlEGZGffuD5iw/wvRaM5BQRSycaO24c7AcOKLAtF30TeTQoYX7VypWsPaNC7pCsoU7nr1++wskzZ9i5AQvmzWfBs7wxKa+mtmgfHa9kYVod2sDo1LFC5WnhbbGiY5DUpHW+81UuD+iNEc7bNX5Q4J07LLxKtTVUQk1FtNQglJCi6B6+acsWdO3eTU2NLGink7eW2jb6eHuzjnukalNhUuUKpVCujDkszE1YJZm+njabj1icjZS0dMQnprKy8q/fY/GDFgVgrUSomTbV3dO/CwOxOAuDBwxg7In6Y3Zs2441AiIOoHCtJCclsUBghYoVWV/ovMAyiCZPQT//G6zWUpWFmT4OgkCl10yxZIxyALEY0vcfIEtJQbafH8Sn3NhPlBoYsnkNug7L7/OitNiIt29ZHxnK0aXG1bRg5IGlPLPKVSqz/srENogVTBo/Aa7nz0MnT06xpkWjHfzj+3d8/vyF5W09f/4c79+9Y0W79A4ak5qP6ujosgIqcoM0adqMyT5qKaJoJV8Uu1P8TnKECl/JPxb5LpIJfmLX1EpS0XD1gocHY2Hn3ORrowreJ06izUonJUp0JoyCsEtn8I1N2MF1vDzVEUXKGE0TT7brD2mIPDZNkM4DJNcuoUqtWmq3k/ubnJXHThxXSzrYvWs3a3o9dsJ4dpiCh6cn5s2dg7dv3mLq9Gn5EjmKu3gs2MVxTBgTEIIUSCruGIr7/P38sWj+fNSoWRNHjh1lwcCU5GR06tCRlVy4ubjgyCF5lQPVnQ4d5sBcMsdOnGBFwqrwMSICup16QVelaZFW+1bMyi8OFMrKlJSTloaEWvKyPyVB8nhI4AO6twNQwVI96Zp6KhubGCtZHUXvqH07lZpfCQjA/Qf3MWnceCZ3ClKjizP5v3EP1fzExcYyZFOLxqPHj+H9+w+s9w2VnFDNKfX7JIRRTh2xMAX10Hzouehv3yBp3QkGec6eIcOjxJs/3KyU7cwMEbjEZCTbygt9CD4IgNLX/VGpRo0C18nl7DmQnUNGJ7EgqhshOVNYL8y/sejFGZPSfkmDpN6eV/z8WNtHki1UYqJvaIDNW7YUKrS/vH+PpE49UDG3AgTGgdfAL1MSPD3DYhvQxaIY1Q/KPO+O9Hnq8e53Qj5KXHCFlUpNopLaOA7du3RlRiSVH2zZtk2jm6M4i/afuufc2XO4HhDA/HxU3HvuzBlm8dPmpNYlCxYuZE7KvPD66VOkD3SApXo5DQwO7YROz16/Nf3fRkxyLztIP30Fz8gA3K94ZZXATwEfaXu3o3nv/D1iqIf/61evWKTzbza4/q0vL+JmSgwnVkZuJTIeXV1c4OHmznrmUCfcvPDQ1xcm0+ejjOJgVDogr5Q5ayIuaFQfJhRr+Q34bcSojp330IUUHvBm0Rx0nzrljyKAZNTUyZORmJDIVG8y4gjI10aGakHIpoBVeGgYIt9HYvgI9chjUWtEGiBRutPGjbBtYavMz877LqIi31270dB5L4xU2yoa6MPsbVhRrynw93+HGA3HlBAVX2neCA6u5wrNEFGdEWXCU1eJJ8GP2elHeYE+fub0GawvmKLVPNkV5NU+dOAgLl/xx0anDfj+PQqUP9zHzo75sujgHjoLZsCgQWr5wprG14Tci56ebHwS8Kque8XztGHODnFA32cv1Fwt7Pf/9DElqh+VcewotKytIWjQAEn1mgAq9erP9bVR8bwLalLGRzH7XO7ds5fxc03HXbVr3QalSpdmp/mR+4PKC+m4LGo51aJlC+ZMJIXiy5fPoPYht4MCMW3yVKx1WseOCaFWIarzoJgKVVVTJfGRg4dYMCyvMqLqpFX9broeERqK74OGoZFKJ3I6dNs09BEkYWGQvnwNvQnj/zsUoyrgE6vkPwpLxANCh/RHm2VLf9u4U/0islHq1q7DDpHr178f5s2Zg1s3buJ5eBhsmzRltTxfv36BRUkLxMXHsXaPCxYtwsjhw9GmbTtmGJJ7nmwTBTx+/BgxP6NZiIISR+jokeIAqclBa9ejsYc3dPMe5vO/chSW4kPo8LhUu4EQ1KsLXpnSEO86mGvwcEBkCSNkL12IVkOHFJt6VBfpir8/C0dT6hAls5PHgCKg5GujgN36jRtwNzAI+gb6IFcKebqpXlQBVPFG7R5fvc09P6wgaigIOURh9ymssWk7rJJUziajTNGFsyH7/AWSV69hGuBXHPwWec+/kjGaRtd43CKVnwN4U8MSRmuWo0mbNkVOTHFDYGAgy82iZnXUEoUy5RXHInq4n8eqFSuYO2Rg//7YtoO61XKYP2cunoeHs/tKlDBlByiQB5xSiP4JPAkMRNpqJ9R5/wl5s5vUjlv8J4MX8MwfR4wsNRmJtRpDYFUN2j27IZOoRwUyeUBklYrgVi5F+wKCZ6r30wl/v2J+4f79eyyXjVqmUFBt4JDBLJJIMZG27dqimU0TTJg4kdXqHD54EHcfPmDnDRCiKKWWjrWyH5BbvlicNbxz7TqwbgNqfo6CWnUPo5KZyLp4ifkSzb59+EecoLA5/HHEqAnJ7CwkVKld4EE2kdoCvJ41DWNmys+a+TdAUUhvLy9WyEQe5OIqHJreeXLXLtTetR81qOhfE/xfPNI373ckte0MOuVbb8FspE2cDqTmbwFCbM6/agU0W7UC5Ro2YNHP/xSQrKGjraKePcfTdU7o8fk7NJUs8UqXhMGOzcjYvhucKB2m1/3/6hT/KsXQzFWFbMqYCZDcuANQm0ZDA/Vj4+U3I0XAw+PKFVDeYQhK2TZHKUtLVuX7byhAjYrpHSkpiP34EdH3H+Hn+fNo+iUKxmSA5WkMyCthCo666kokEPboDKPD/x8dG6+6KOILFyD7/hM6IxyQHfwEoknq+QP5tiDH4QsfSCxXBvx6dSGsVRN8y6oQli/PTg+kaCIlFGqyxsnqJ+3tV3Q0sqOiIPv4GdkREZCFv4LZzxhUokyVIuwr6rin1bwpxGdcwa9QFroqzXn+KrkUdeLS33y5NCoKSbbtodW0Ies2lGrvkH/LapoA5SPweKwLoQgcpFpagFAIjlwzdD/FZbKyIZBKYAAec5Pwi3s4NZ8Pw/NnkOG0ieXWmTy8zU5G+m/AX2dlBX0UqZkyijzmnNwn2roV4t2HwSttASP300hp/3vHE/7TxTO+fgmpI8eCi46F3uI50Js2VZ4cHhennNs/HfvfPPdfQ0zeSVP4WhrxFsKm8oNAE5u3BvcjBtoOA6DdrQvSHCfLH6F2w9S3Mo1S3lnvEfl/VHZOQIfkcFSBnPMG6qgnFjNKYq0nPc9CfNYF2V7+4JW1gGnwfcYKs+4FQau2Nfj/QcWjMMT9zyAm7ySl8XHg4hOUhxEk9+oH2Y+fMLnqyzo0JbfvDmRnwcB5MxPaolkLGYKoQQ4hSTRnEXMkmt6/yXLB6Fh7ftnSMLkqPwOH5I2gYgXw8/TU/ze7/E8++z+LGE0UxSNtLqenpNjbBzwjI2h36shuzThwiFGL3iR5e/qsmzfBZWRCp7c8QMVlZIDjAXzdf39Sxp9EQEFj/T94tXTifFdkUAAAAABJRU5ErkJggg==">
          <a:extLst>
            <a:ext uri="{FF2B5EF4-FFF2-40B4-BE49-F238E27FC236}">
              <a16:creationId xmlns:a16="http://schemas.microsoft.com/office/drawing/2014/main" id="{00000000-0008-0000-0200-0000021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0</xdr:row>
      <xdr:rowOff>0</xdr:rowOff>
    </xdr:from>
    <xdr:to>
      <xdr:col>0</xdr:col>
      <xdr:colOff>1015472</xdr:colOff>
      <xdr:row>2</xdr:row>
      <xdr:rowOff>157163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 y="0"/>
          <a:ext cx="1058334" cy="59531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0000000}" name="Table11" displayName="Table11" ref="Z8:Z323" totalsRowCount="1" headerRowDxfId="847" dataDxfId="846" tableBorderDxfId="845">
  <autoFilter ref="Z8:Z322" xr:uid="{00000000-0009-0000-0100-00000B000000}">
    <filterColumn colId="0">
      <filters>
        <filter val="Show"/>
      </filters>
    </filterColumn>
  </autoFilter>
  <tableColumns count="1">
    <tableColumn id="1" xr3:uid="{00000000-0010-0000-0000-000001000000}" name="Filter Rows" totalsRowFunction="custom" dataDxfId="844" totalsRowDxfId="843">
      <totalsRowFormula>IF(A323&gt;"","Show","Hide")</totalsRowFormula>
    </tableColumn>
  </tableColumns>
  <tableStyleInfo name="Quarterly Sales Report" showFirstColumn="0" showLastColumn="0" showRowStripes="1" showColumnStripes="0"/>
</table>
</file>

<file path=xl/theme/theme1.xml><?xml version="1.0" encoding="utf-8"?>
<a:theme xmlns:a="http://schemas.openxmlformats.org/drawingml/2006/main" name="Retirement Planner">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Retirement Planner">
      <a:majorFont>
        <a:latin typeface="Century"/>
        <a:ea typeface=""/>
        <a:cs typeface=""/>
      </a:majorFont>
      <a:minorFont>
        <a:latin typeface="Tahom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dimension ref="A1:D45"/>
  <sheetViews>
    <sheetView showGridLines="0" topLeftCell="A2" workbookViewId="0">
      <selection activeCell="D51" sqref="D51"/>
    </sheetView>
  </sheetViews>
  <sheetFormatPr defaultColWidth="8.85546875" defaultRowHeight="12.75" x14ac:dyDescent="0.2"/>
  <cols>
    <col min="1" max="3" width="8.85546875" style="1"/>
    <col min="4" max="4" width="129.85546875" style="267" customWidth="1"/>
    <col min="5" max="16384" width="8.85546875" style="1"/>
  </cols>
  <sheetData>
    <row r="1" spans="1:4" x14ac:dyDescent="0.2">
      <c r="A1" s="15" t="s">
        <v>138</v>
      </c>
    </row>
    <row r="3" spans="1:4" ht="26.25" customHeight="1" x14ac:dyDescent="0.2">
      <c r="A3" s="411" t="s">
        <v>139</v>
      </c>
      <c r="B3" s="411"/>
      <c r="C3" s="411"/>
      <c r="D3" s="411"/>
    </row>
    <row r="5" spans="1:4" x14ac:dyDescent="0.2">
      <c r="B5" s="53" t="s">
        <v>149</v>
      </c>
      <c r="C5" s="53"/>
      <c r="D5" s="268" t="s">
        <v>150</v>
      </c>
    </row>
    <row r="6" spans="1:4" ht="25.5" x14ac:dyDescent="0.2">
      <c r="B6" s="271" t="s">
        <v>140</v>
      </c>
      <c r="D6" s="267" t="s">
        <v>141</v>
      </c>
    </row>
    <row r="7" spans="1:4" x14ac:dyDescent="0.2">
      <c r="B7" s="272"/>
      <c r="D7" s="267" t="s">
        <v>202</v>
      </c>
    </row>
    <row r="8" spans="1:4" x14ac:dyDescent="0.2">
      <c r="B8" s="272"/>
      <c r="D8" s="267" t="s">
        <v>142</v>
      </c>
    </row>
    <row r="9" spans="1:4" ht="25.5" x14ac:dyDescent="0.2">
      <c r="B9" s="272"/>
      <c r="D9" s="269" t="s">
        <v>240</v>
      </c>
    </row>
    <row r="10" spans="1:4" x14ac:dyDescent="0.2">
      <c r="B10" s="272"/>
    </row>
    <row r="11" spans="1:4" ht="25.5" x14ac:dyDescent="0.2">
      <c r="B11" s="271" t="s">
        <v>143</v>
      </c>
      <c r="D11" s="267" t="s">
        <v>203</v>
      </c>
    </row>
    <row r="12" spans="1:4" x14ac:dyDescent="0.2">
      <c r="B12" s="271"/>
      <c r="D12" s="267" t="s">
        <v>250</v>
      </c>
    </row>
    <row r="13" spans="1:4" ht="25.5" x14ac:dyDescent="0.2">
      <c r="B13" s="271"/>
      <c r="D13" s="270" t="s">
        <v>204</v>
      </c>
    </row>
    <row r="14" spans="1:4" ht="25.5" x14ac:dyDescent="0.2">
      <c r="B14" s="272"/>
      <c r="D14" s="270" t="s">
        <v>251</v>
      </c>
    </row>
    <row r="15" spans="1:4" x14ac:dyDescent="0.2">
      <c r="B15" s="272"/>
    </row>
    <row r="16" spans="1:4" x14ac:dyDescent="0.2">
      <c r="B16" s="271" t="s">
        <v>144</v>
      </c>
      <c r="D16" s="270" t="s">
        <v>145</v>
      </c>
    </row>
    <row r="17" spans="2:4" x14ac:dyDescent="0.2">
      <c r="B17" s="272"/>
      <c r="D17" s="267" t="s">
        <v>146</v>
      </c>
    </row>
    <row r="18" spans="2:4" ht="25.5" x14ac:dyDescent="0.2">
      <c r="B18" s="272"/>
      <c r="D18" s="267" t="s">
        <v>147</v>
      </c>
    </row>
    <row r="19" spans="2:4" x14ac:dyDescent="0.2">
      <c r="B19" s="272"/>
      <c r="D19" s="267" t="s">
        <v>205</v>
      </c>
    </row>
    <row r="20" spans="2:4" x14ac:dyDescent="0.2">
      <c r="B20" s="272"/>
      <c r="D20" s="267" t="s">
        <v>252</v>
      </c>
    </row>
    <row r="21" spans="2:4" x14ac:dyDescent="0.2">
      <c r="B21" s="272"/>
      <c r="D21" s="267" t="s">
        <v>206</v>
      </c>
    </row>
    <row r="22" spans="2:4" x14ac:dyDescent="0.2">
      <c r="B22" s="272"/>
      <c r="D22" s="267" t="s">
        <v>253</v>
      </c>
    </row>
    <row r="23" spans="2:4" x14ac:dyDescent="0.2">
      <c r="B23" s="272"/>
    </row>
    <row r="24" spans="2:4" x14ac:dyDescent="0.2">
      <c r="B24" s="271" t="s">
        <v>148</v>
      </c>
      <c r="D24" s="267" t="s">
        <v>151</v>
      </c>
    </row>
    <row r="25" spans="2:4" x14ac:dyDescent="0.2">
      <c r="B25" s="271"/>
      <c r="D25" s="267" t="s">
        <v>160</v>
      </c>
    </row>
    <row r="26" spans="2:4" x14ac:dyDescent="0.2">
      <c r="B26" s="272"/>
    </row>
    <row r="27" spans="2:4" x14ac:dyDescent="0.2">
      <c r="B27" s="271" t="s">
        <v>152</v>
      </c>
      <c r="D27" s="267" t="s">
        <v>254</v>
      </c>
    </row>
    <row r="28" spans="2:4" x14ac:dyDescent="0.2">
      <c r="B28" s="272"/>
    </row>
    <row r="29" spans="2:4" x14ac:dyDescent="0.2">
      <c r="B29" s="271" t="s">
        <v>239</v>
      </c>
      <c r="D29" s="267" t="s">
        <v>255</v>
      </c>
    </row>
    <row r="30" spans="2:4" hidden="1" x14ac:dyDescent="0.2">
      <c r="B30" s="53" t="s">
        <v>155</v>
      </c>
    </row>
    <row r="31" spans="2:4" hidden="1" x14ac:dyDescent="0.2">
      <c r="B31" s="15" t="s">
        <v>153</v>
      </c>
      <c r="D31" s="267" t="s">
        <v>154</v>
      </c>
    </row>
    <row r="32" spans="2:4" hidden="1" x14ac:dyDescent="0.2"/>
    <row r="33" spans="1:4" hidden="1" x14ac:dyDescent="0.2">
      <c r="B33" s="15" t="s">
        <v>156</v>
      </c>
      <c r="D33" s="267" t="s">
        <v>157</v>
      </c>
    </row>
    <row r="34" spans="1:4" hidden="1" x14ac:dyDescent="0.2"/>
    <row r="35" spans="1:4" hidden="1" x14ac:dyDescent="0.2">
      <c r="B35" s="15" t="s">
        <v>158</v>
      </c>
      <c r="D35" s="267" t="s">
        <v>159</v>
      </c>
    </row>
    <row r="36" spans="1:4" hidden="1" x14ac:dyDescent="0.2"/>
    <row r="37" spans="1:4" hidden="1" x14ac:dyDescent="0.2"/>
    <row r="38" spans="1:4" hidden="1" x14ac:dyDescent="0.2">
      <c r="D38" s="267" t="s">
        <v>207</v>
      </c>
    </row>
    <row r="40" spans="1:4" x14ac:dyDescent="0.2">
      <c r="A40" s="15" t="s">
        <v>244</v>
      </c>
    </row>
    <row r="41" spans="1:4" x14ac:dyDescent="0.2">
      <c r="B41" s="15" t="s">
        <v>245</v>
      </c>
    </row>
    <row r="42" spans="1:4" x14ac:dyDescent="0.2">
      <c r="B42" s="1" t="s">
        <v>246</v>
      </c>
    </row>
    <row r="44" spans="1:4" x14ac:dyDescent="0.2">
      <c r="B44" s="15" t="s">
        <v>247</v>
      </c>
    </row>
    <row r="45" spans="1:4" x14ac:dyDescent="0.2">
      <c r="B45" s="1" t="s">
        <v>248</v>
      </c>
    </row>
  </sheetData>
  <sheetProtection password="DD35" sheet="1" objects="1" scenarios="1"/>
  <mergeCells count="1">
    <mergeCell ref="A3:D3"/>
  </mergeCells>
  <phoneticPr fontId="49" type="noConversion"/>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U421"/>
  <sheetViews>
    <sheetView showGridLines="0" topLeftCell="A370" workbookViewId="0">
      <selection activeCell="A316" sqref="A316"/>
    </sheetView>
  </sheetViews>
  <sheetFormatPr defaultColWidth="8.85546875" defaultRowHeight="12.75" x14ac:dyDescent="0.2"/>
  <cols>
    <col min="1" max="6" width="8.85546875" style="395"/>
    <col min="7" max="7" width="11.5703125" style="395" bestFit="1" customWidth="1"/>
    <col min="8" max="8" width="9.5703125" style="395" bestFit="1" customWidth="1"/>
    <col min="9" max="9" width="17.85546875" style="395" customWidth="1"/>
    <col min="10" max="10" width="8.85546875" style="395"/>
    <col min="11" max="11" width="9.42578125" style="395" customWidth="1"/>
    <col min="12" max="16384" width="8.85546875" style="395"/>
  </cols>
  <sheetData>
    <row r="1" spans="1:11" x14ac:dyDescent="0.2">
      <c r="A1" s="395" t="s">
        <v>45</v>
      </c>
      <c r="B1" s="395" t="s">
        <v>86</v>
      </c>
      <c r="C1" s="6" t="s">
        <v>33</v>
      </c>
      <c r="D1" s="6" t="s">
        <v>47</v>
      </c>
      <c r="E1" s="6" t="s">
        <v>31</v>
      </c>
      <c r="F1" s="6" t="s">
        <v>52</v>
      </c>
      <c r="G1" s="6" t="s">
        <v>198</v>
      </c>
      <c r="H1" s="6" t="s">
        <v>199</v>
      </c>
      <c r="I1" s="6" t="s">
        <v>196</v>
      </c>
      <c r="J1" s="6" t="s">
        <v>200</v>
      </c>
      <c r="K1" s="6" t="s">
        <v>197</v>
      </c>
    </row>
    <row r="2" spans="1:11" x14ac:dyDescent="0.2">
      <c r="A2" s="395">
        <v>1</v>
      </c>
      <c r="B2" s="395">
        <v>1</v>
      </c>
      <c r="C2" s="9">
        <f>IF('Ballot Entry'!M3&lt;&gt;9999,'Ballot Entry'!M3, "")</f>
        <v>1029</v>
      </c>
      <c r="D2" s="9">
        <f>IF('Ballot Entry'!N3&lt;&gt;9999,'Ballot Entry'!N3, "")</f>
        <v>1001</v>
      </c>
      <c r="E2" s="9">
        <f>IF('Ballot Entry'!$M3&lt;&gt;9999,'Ballot Entry'!O3,"")</f>
        <v>0</v>
      </c>
      <c r="F2" s="9" t="str">
        <f t="shared" ref="F2:F12" si="0">IF(E2="",NA(),IF(E2&gt;0, "P", IF(E2&lt;0,"D", "T")))</f>
        <v>T</v>
      </c>
      <c r="G2" s="9">
        <f>ABS(E2)</f>
        <v>0</v>
      </c>
      <c r="H2" s="396" t="e">
        <f>'Captains Info'!N12</f>
        <v>#N/A</v>
      </c>
      <c r="I2" s="396" t="e">
        <f t="shared" ref="I2:I36" si="1">VLOOKUP(H2,PComb,2,FALSE )</f>
        <v>#N/A</v>
      </c>
      <c r="J2" s="396" t="e">
        <f>'Captains Info'!O12</f>
        <v>#N/A</v>
      </c>
      <c r="K2" s="396" t="e">
        <f t="shared" ref="K2:K33" si="2">VLOOKUP(J2,DComb,2,FALSE )</f>
        <v>#N/A</v>
      </c>
    </row>
    <row r="3" spans="1:11" x14ac:dyDescent="0.2">
      <c r="A3" s="395">
        <v>1</v>
      </c>
      <c r="B3" s="395">
        <v>1</v>
      </c>
      <c r="C3" s="9">
        <f>IF('Ballot Entry'!M4&lt;&gt;9999,'Ballot Entry'!M4, "")</f>
        <v>1268</v>
      </c>
      <c r="D3" s="9">
        <f>IF('Ballot Entry'!N4&lt;&gt;9999,'Ballot Entry'!N4, "")</f>
        <v>1078</v>
      </c>
      <c r="E3" s="9">
        <f>IF('Ballot Entry'!$M4&lt;&gt;9999,'Ballot Entry'!O4,"")</f>
        <v>-10</v>
      </c>
      <c r="F3" s="9" t="str">
        <f t="shared" si="0"/>
        <v>D</v>
      </c>
      <c r="G3" s="9">
        <f t="shared" ref="G3:G111" si="3">ABS(E3)</f>
        <v>10</v>
      </c>
      <c r="H3" s="396" t="e">
        <f>'Captains Info'!N15</f>
        <v>#N/A</v>
      </c>
      <c r="I3" s="396" t="e">
        <f t="shared" si="1"/>
        <v>#N/A</v>
      </c>
      <c r="J3" s="396" t="e">
        <f>'Captains Info'!O15</f>
        <v>#N/A</v>
      </c>
      <c r="K3" s="396" t="e">
        <f t="shared" si="2"/>
        <v>#N/A</v>
      </c>
    </row>
    <row r="4" spans="1:11" x14ac:dyDescent="0.2">
      <c r="A4" s="395">
        <v>1</v>
      </c>
      <c r="B4" s="395">
        <v>1</v>
      </c>
      <c r="C4" s="9">
        <f>IF('Ballot Entry'!M5&lt;&gt;9999,'Ballot Entry'!M5, "")</f>
        <v>1506</v>
      </c>
      <c r="D4" s="9">
        <f>IF('Ballot Entry'!N5&lt;&gt;9999,'Ballot Entry'!N5, "")</f>
        <v>1224</v>
      </c>
      <c r="E4" s="9">
        <f>IF('Ballot Entry'!$M5&lt;&gt;9999,'Ballot Entry'!O5,"")</f>
        <v>14</v>
      </c>
      <c r="F4" s="9" t="str">
        <f t="shared" si="0"/>
        <v>P</v>
      </c>
      <c r="G4" s="9">
        <f t="shared" si="3"/>
        <v>14</v>
      </c>
      <c r="H4" s="396" t="e">
        <f>'Captains Info'!N18</f>
        <v>#N/A</v>
      </c>
      <c r="I4" s="396" t="e">
        <f t="shared" si="1"/>
        <v>#N/A</v>
      </c>
      <c r="J4" s="396" t="e">
        <f>'Captains Info'!O18</f>
        <v>#N/A</v>
      </c>
      <c r="K4" s="396" t="e">
        <f t="shared" si="2"/>
        <v>#N/A</v>
      </c>
    </row>
    <row r="5" spans="1:11" x14ac:dyDescent="0.2">
      <c r="A5" s="395">
        <v>1</v>
      </c>
      <c r="B5" s="395">
        <v>1</v>
      </c>
      <c r="C5" s="9">
        <f>IF('Ballot Entry'!M6&lt;&gt;9999,'Ballot Entry'!M6, "")</f>
        <v>1410</v>
      </c>
      <c r="D5" s="9">
        <f>IF('Ballot Entry'!N6&lt;&gt;9999,'Ballot Entry'!N6, "")</f>
        <v>1616</v>
      </c>
      <c r="E5" s="9">
        <f>IF('Ballot Entry'!$M6&lt;&gt;9999,'Ballot Entry'!O6,"")</f>
        <v>-3</v>
      </c>
      <c r="F5" s="9" t="str">
        <f t="shared" si="0"/>
        <v>D</v>
      </c>
      <c r="G5" s="9">
        <f t="shared" si="3"/>
        <v>3</v>
      </c>
      <c r="H5" s="396" t="e">
        <f>'Captains Info'!N21</f>
        <v>#N/A</v>
      </c>
      <c r="I5" s="396" t="e">
        <f t="shared" si="1"/>
        <v>#N/A</v>
      </c>
      <c r="J5" s="396" t="e">
        <f>'Captains Info'!O21</f>
        <v>#N/A</v>
      </c>
      <c r="K5" s="396" t="e">
        <f t="shared" si="2"/>
        <v>#N/A</v>
      </c>
    </row>
    <row r="6" spans="1:11" x14ac:dyDescent="0.2">
      <c r="A6" s="395">
        <v>1</v>
      </c>
      <c r="B6" s="395">
        <v>1</v>
      </c>
      <c r="C6" s="9">
        <f>IF('Ballot Entry'!M7&lt;&gt;9999,'Ballot Entry'!M7, "")</f>
        <v>1557</v>
      </c>
      <c r="D6" s="9">
        <f>IF('Ballot Entry'!N7&lt;&gt;9999,'Ballot Entry'!N7, "")</f>
        <v>1517</v>
      </c>
      <c r="E6" s="9">
        <f>IF('Ballot Entry'!$M7&lt;&gt;9999,'Ballot Entry'!O7,"")</f>
        <v>-1</v>
      </c>
      <c r="F6" s="9" t="str">
        <f t="shared" si="0"/>
        <v>D</v>
      </c>
      <c r="G6" s="9">
        <f t="shared" si="3"/>
        <v>1</v>
      </c>
      <c r="H6" s="396" t="e">
        <f>'Captains Info'!N24</f>
        <v>#N/A</v>
      </c>
      <c r="I6" s="396" t="e">
        <f t="shared" si="1"/>
        <v>#N/A</v>
      </c>
      <c r="J6" s="396" t="e">
        <f>'Captains Info'!O24</f>
        <v>#N/A</v>
      </c>
      <c r="K6" s="396" t="e">
        <f t="shared" si="2"/>
        <v>#N/A</v>
      </c>
    </row>
    <row r="7" spans="1:11" x14ac:dyDescent="0.2">
      <c r="A7" s="395">
        <v>1</v>
      </c>
      <c r="B7" s="395">
        <v>1</v>
      </c>
      <c r="C7" s="9">
        <f>IF('Ballot Entry'!M8&lt;&gt;9999,'Ballot Entry'!M8, "")</f>
        <v>1262</v>
      </c>
      <c r="D7" s="9">
        <f>IF('Ballot Entry'!N8&lt;&gt;9999,'Ballot Entry'!N8, "")</f>
        <v>1693</v>
      </c>
      <c r="E7" s="9">
        <f>IF('Ballot Entry'!$M8&lt;&gt;9999,'Ballot Entry'!O8,"")</f>
        <v>2</v>
      </c>
      <c r="F7" s="9" t="str">
        <f t="shared" si="0"/>
        <v>P</v>
      </c>
      <c r="G7" s="9">
        <f t="shared" si="3"/>
        <v>2</v>
      </c>
      <c r="H7" s="396" t="e">
        <f>'Captains Info'!N27</f>
        <v>#N/A</v>
      </c>
      <c r="I7" s="396" t="e">
        <f t="shared" si="1"/>
        <v>#N/A</v>
      </c>
      <c r="J7" s="396" t="e">
        <f>'Captains Info'!O27</f>
        <v>#N/A</v>
      </c>
      <c r="K7" s="396" t="e">
        <f t="shared" si="2"/>
        <v>#N/A</v>
      </c>
    </row>
    <row r="8" spans="1:11" x14ac:dyDescent="0.2">
      <c r="A8" s="395">
        <v>1</v>
      </c>
      <c r="B8" s="395">
        <v>1</v>
      </c>
      <c r="C8" s="9">
        <f>IF('Ballot Entry'!M9&lt;&gt;9999,'Ballot Entry'!M9, "")</f>
        <v>1258</v>
      </c>
      <c r="D8" s="9">
        <f>IF('Ballot Entry'!N9&lt;&gt;9999,'Ballot Entry'!N9, "")</f>
        <v>1217</v>
      </c>
      <c r="E8" s="9">
        <f>IF('Ballot Entry'!$M9&lt;&gt;9999,'Ballot Entry'!O9,"")</f>
        <v>6</v>
      </c>
      <c r="F8" s="9" t="str">
        <f t="shared" si="0"/>
        <v>P</v>
      </c>
      <c r="G8" s="9">
        <f t="shared" si="3"/>
        <v>6</v>
      </c>
      <c r="H8" s="396" t="e">
        <f>'Captains Info'!N30</f>
        <v>#N/A</v>
      </c>
      <c r="I8" s="396" t="e">
        <f t="shared" si="1"/>
        <v>#N/A</v>
      </c>
      <c r="J8" s="396" t="e">
        <f>'Captains Info'!O30</f>
        <v>#N/A</v>
      </c>
      <c r="K8" s="396" t="e">
        <f t="shared" si="2"/>
        <v>#N/A</v>
      </c>
    </row>
    <row r="9" spans="1:11" x14ac:dyDescent="0.2">
      <c r="A9" s="395">
        <v>1</v>
      </c>
      <c r="B9" s="395">
        <v>1</v>
      </c>
      <c r="C9" s="9">
        <f>IF('Ballot Entry'!M10&lt;&gt;9999,'Ballot Entry'!M10, "")</f>
        <v>1489</v>
      </c>
      <c r="D9" s="9">
        <f>IF('Ballot Entry'!N10&lt;&gt;9999,'Ballot Entry'!N10, "")</f>
        <v>1051</v>
      </c>
      <c r="E9" s="9">
        <f>IF('Ballot Entry'!$M10&lt;&gt;9999,'Ballot Entry'!O10,"")</f>
        <v>2</v>
      </c>
      <c r="F9" s="9" t="str">
        <f t="shared" si="0"/>
        <v>P</v>
      </c>
      <c r="G9" s="9">
        <f t="shared" si="3"/>
        <v>2</v>
      </c>
      <c r="H9" s="396" t="e">
        <f>'Captains Info'!N33</f>
        <v>#N/A</v>
      </c>
      <c r="I9" s="396" t="e">
        <f t="shared" si="1"/>
        <v>#N/A</v>
      </c>
      <c r="J9" s="396" t="e">
        <f>'Captains Info'!O33</f>
        <v>#N/A</v>
      </c>
      <c r="K9" s="396" t="e">
        <f t="shared" si="2"/>
        <v>#N/A</v>
      </c>
    </row>
    <row r="10" spans="1:11" x14ac:dyDescent="0.2">
      <c r="A10" s="395">
        <v>1</v>
      </c>
      <c r="B10" s="395">
        <v>1</v>
      </c>
      <c r="C10" s="9">
        <f>IF('Ballot Entry'!M11&lt;&gt;9999,'Ballot Entry'!M11, "")</f>
        <v>1577</v>
      </c>
      <c r="D10" s="9">
        <f>IF('Ballot Entry'!N11&lt;&gt;9999,'Ballot Entry'!N11, "")</f>
        <v>1492</v>
      </c>
      <c r="E10" s="9">
        <f>IF('Ballot Entry'!$M11&lt;&gt;9999,'Ballot Entry'!O11,"")</f>
        <v>3</v>
      </c>
      <c r="F10" s="9" t="str">
        <f t="shared" si="0"/>
        <v>P</v>
      </c>
      <c r="G10" s="9">
        <f t="shared" si="3"/>
        <v>3</v>
      </c>
      <c r="H10" s="396" t="e">
        <f>'Captains Info'!N36</f>
        <v>#N/A</v>
      </c>
      <c r="I10" s="396" t="e">
        <f t="shared" si="1"/>
        <v>#N/A</v>
      </c>
      <c r="J10" s="396" t="e">
        <f>'Captains Info'!O36</f>
        <v>#N/A</v>
      </c>
      <c r="K10" s="396" t="e">
        <f t="shared" si="2"/>
        <v>#N/A</v>
      </c>
    </row>
    <row r="11" spans="1:11" x14ac:dyDescent="0.2">
      <c r="A11" s="395">
        <v>1</v>
      </c>
      <c r="B11" s="395">
        <v>1</v>
      </c>
      <c r="C11" s="9" t="str">
        <f>IF('Ballot Entry'!M12&lt;&gt;9999,'Ballot Entry'!M12, "")</f>
        <v/>
      </c>
      <c r="D11" s="9" t="str">
        <f>IF('Ballot Entry'!N12&lt;&gt;9999,'Ballot Entry'!N12, "")</f>
        <v/>
      </c>
      <c r="E11" s="9" t="str">
        <f>IF('Ballot Entry'!$M12&lt;&gt;9999,'Ballot Entry'!O12,"")</f>
        <v/>
      </c>
      <c r="F11" s="9" t="e">
        <f t="shared" si="0"/>
        <v>#N/A</v>
      </c>
      <c r="G11" s="9" t="e">
        <f t="shared" si="3"/>
        <v>#VALUE!</v>
      </c>
      <c r="H11" s="396" t="e">
        <f>'Captains Info'!N39</f>
        <v>#N/A</v>
      </c>
      <c r="I11" s="396" t="e">
        <f t="shared" si="1"/>
        <v>#N/A</v>
      </c>
      <c r="J11" s="396" t="e">
        <f>'Captains Info'!O39</f>
        <v>#N/A</v>
      </c>
      <c r="K11" s="396" t="e">
        <f t="shared" si="2"/>
        <v>#N/A</v>
      </c>
    </row>
    <row r="12" spans="1:11" x14ac:dyDescent="0.2">
      <c r="A12" s="395">
        <v>1</v>
      </c>
      <c r="B12" s="395">
        <v>1</v>
      </c>
      <c r="C12" s="9" t="str">
        <f>IF('Ballot Entry'!M13&lt;&gt;9999,'Ballot Entry'!M13, "")</f>
        <v/>
      </c>
      <c r="D12" s="9" t="str">
        <f>IF('Ballot Entry'!N13&lt;&gt;9999,'Ballot Entry'!N13, "")</f>
        <v/>
      </c>
      <c r="E12" s="9" t="str">
        <f>IF('Ballot Entry'!$M13&lt;&gt;9999,'Ballot Entry'!O13,"")</f>
        <v/>
      </c>
      <c r="F12" s="9" t="e">
        <f t="shared" si="0"/>
        <v>#N/A</v>
      </c>
      <c r="G12" s="9" t="e">
        <f t="shared" si="3"/>
        <v>#VALUE!</v>
      </c>
      <c r="H12" s="396" t="e">
        <f>'Captains Info'!N42</f>
        <v>#N/A</v>
      </c>
      <c r="I12" s="396" t="e">
        <f t="shared" si="1"/>
        <v>#N/A</v>
      </c>
      <c r="J12" s="396" t="e">
        <f>'Captains Info'!O42</f>
        <v>#N/A</v>
      </c>
      <c r="K12" s="396" t="e">
        <f t="shared" si="2"/>
        <v>#N/A</v>
      </c>
    </row>
    <row r="13" spans="1:11" x14ac:dyDescent="0.2">
      <c r="A13" s="395">
        <v>1</v>
      </c>
      <c r="B13" s="395">
        <v>1</v>
      </c>
      <c r="C13" s="9" t="str">
        <f>IF('Ballot Entry'!M14&lt;&gt;9999,'Ballot Entry'!M14, "")</f>
        <v/>
      </c>
      <c r="D13" s="9" t="str">
        <f>IF('Ballot Entry'!N14&lt;&gt;9999,'Ballot Entry'!N14, "")</f>
        <v/>
      </c>
      <c r="E13" s="9" t="str">
        <f>IF('Ballot Entry'!$M14&lt;&gt;9999,'Ballot Entry'!O14,"")</f>
        <v/>
      </c>
      <c r="F13" s="9" t="e">
        <f>IF(E13="",NA(),IF(E13&gt;0, "P", IF(E13&lt;0,"D", "T")))</f>
        <v>#N/A</v>
      </c>
      <c r="G13" s="9" t="e">
        <f t="shared" si="3"/>
        <v>#VALUE!</v>
      </c>
      <c r="H13" s="396" t="e">
        <f>'Captains Info'!N45</f>
        <v>#N/A</v>
      </c>
      <c r="I13" s="396" t="e">
        <f t="shared" si="1"/>
        <v>#N/A</v>
      </c>
      <c r="J13" s="396" t="e">
        <f>'Captains Info'!O45</f>
        <v>#N/A</v>
      </c>
      <c r="K13" s="396" t="e">
        <f t="shared" si="2"/>
        <v>#N/A</v>
      </c>
    </row>
    <row r="14" spans="1:11" x14ac:dyDescent="0.2">
      <c r="A14" s="395">
        <v>1</v>
      </c>
      <c r="B14" s="395">
        <v>1</v>
      </c>
      <c r="C14" s="9" t="str">
        <f>IF('Ballot Entry'!M15&lt;&gt;9999,'Ballot Entry'!M15, "")</f>
        <v/>
      </c>
      <c r="D14" s="9" t="str">
        <f>IF('Ballot Entry'!N15&lt;&gt;9999,'Ballot Entry'!N15, "")</f>
        <v/>
      </c>
      <c r="E14" s="9" t="str">
        <f>IF('Ballot Entry'!$M15&lt;&gt;9999,'Ballot Entry'!O15,"")</f>
        <v/>
      </c>
      <c r="F14" s="9" t="e">
        <f t="shared" ref="F14:F122" si="4">IF(E14="",NA(),IF(E14&gt;0, "P", IF(E14&lt;0,"D", "T")))</f>
        <v>#N/A</v>
      </c>
      <c r="G14" s="9" t="e">
        <f t="shared" si="3"/>
        <v>#VALUE!</v>
      </c>
      <c r="H14" s="396" t="e">
        <f>'Captains Info'!N48</f>
        <v>#N/A</v>
      </c>
      <c r="I14" s="396" t="e">
        <f t="shared" si="1"/>
        <v>#N/A</v>
      </c>
      <c r="J14" s="396" t="e">
        <f>'Captains Info'!O48</f>
        <v>#N/A</v>
      </c>
      <c r="K14" s="396" t="e">
        <f t="shared" si="2"/>
        <v>#N/A</v>
      </c>
    </row>
    <row r="15" spans="1:11" x14ac:dyDescent="0.2">
      <c r="A15" s="395">
        <v>1</v>
      </c>
      <c r="B15" s="395">
        <v>1</v>
      </c>
      <c r="C15" s="9" t="str">
        <f>IF('Ballot Entry'!M16&lt;&gt;9999,'Ballot Entry'!M16, "")</f>
        <v/>
      </c>
      <c r="D15" s="9" t="str">
        <f>IF('Ballot Entry'!N16&lt;&gt;9999,'Ballot Entry'!N16, "")</f>
        <v/>
      </c>
      <c r="E15" s="9" t="str">
        <f>IF('Ballot Entry'!$M16&lt;&gt;9999,'Ballot Entry'!O16,"")</f>
        <v/>
      </c>
      <c r="F15" s="9" t="e">
        <f t="shared" si="4"/>
        <v>#N/A</v>
      </c>
      <c r="G15" s="9" t="e">
        <f t="shared" si="3"/>
        <v>#VALUE!</v>
      </c>
      <c r="H15" s="396" t="e">
        <f>'Captains Info'!N51</f>
        <v>#N/A</v>
      </c>
      <c r="I15" s="396" t="e">
        <f t="shared" si="1"/>
        <v>#N/A</v>
      </c>
      <c r="J15" s="396" t="e">
        <f>'Captains Info'!O51</f>
        <v>#N/A</v>
      </c>
      <c r="K15" s="396" t="e">
        <f t="shared" si="2"/>
        <v>#N/A</v>
      </c>
    </row>
    <row r="16" spans="1:11" x14ac:dyDescent="0.2">
      <c r="A16" s="395">
        <v>1</v>
      </c>
      <c r="B16" s="395">
        <v>1</v>
      </c>
      <c r="C16" s="9" t="str">
        <f>IF('Ballot Entry'!M17&lt;&gt;9999,'Ballot Entry'!M17, "")</f>
        <v/>
      </c>
      <c r="D16" s="9" t="str">
        <f>IF('Ballot Entry'!N17&lt;&gt;9999,'Ballot Entry'!N17, "")</f>
        <v/>
      </c>
      <c r="E16" s="9" t="str">
        <f>IF('Ballot Entry'!$M17&lt;&gt;9999,'Ballot Entry'!O17,"")</f>
        <v/>
      </c>
      <c r="F16" s="9" t="e">
        <f t="shared" si="4"/>
        <v>#N/A</v>
      </c>
      <c r="G16" s="9" t="e">
        <f t="shared" si="3"/>
        <v>#VALUE!</v>
      </c>
      <c r="H16" s="396" t="e">
        <f>'Captains Info'!N54</f>
        <v>#N/A</v>
      </c>
      <c r="I16" s="396" t="e">
        <f t="shared" si="1"/>
        <v>#N/A</v>
      </c>
      <c r="J16" s="396" t="e">
        <f>'Captains Info'!O54</f>
        <v>#N/A</v>
      </c>
      <c r="K16" s="396" t="e">
        <f t="shared" si="2"/>
        <v>#N/A</v>
      </c>
    </row>
    <row r="17" spans="1:11" x14ac:dyDescent="0.2">
      <c r="A17" s="395">
        <v>1</v>
      </c>
      <c r="B17" s="395">
        <v>1</v>
      </c>
      <c r="C17" s="9" t="str">
        <f>IF('Ballot Entry'!M18&lt;&gt;9999,'Ballot Entry'!M18, "")</f>
        <v/>
      </c>
      <c r="D17" s="9" t="str">
        <f>IF('Ballot Entry'!N18&lt;&gt;9999,'Ballot Entry'!N18, "")</f>
        <v/>
      </c>
      <c r="E17" s="9" t="str">
        <f>IF('Ballot Entry'!$M18&lt;&gt;9999,'Ballot Entry'!O18,"")</f>
        <v/>
      </c>
      <c r="F17" s="9" t="e">
        <f t="shared" si="4"/>
        <v>#N/A</v>
      </c>
      <c r="G17" s="9" t="e">
        <f t="shared" si="3"/>
        <v>#VALUE!</v>
      </c>
      <c r="H17" s="396" t="e">
        <f>'Captains Info'!N57</f>
        <v>#N/A</v>
      </c>
      <c r="I17" s="396" t="e">
        <f t="shared" si="1"/>
        <v>#N/A</v>
      </c>
      <c r="J17" s="396" t="e">
        <f>'Captains Info'!O57</f>
        <v>#N/A</v>
      </c>
      <c r="K17" s="396" t="e">
        <f t="shared" si="2"/>
        <v>#N/A</v>
      </c>
    </row>
    <row r="18" spans="1:11" x14ac:dyDescent="0.2">
      <c r="A18" s="395">
        <v>1</v>
      </c>
      <c r="B18" s="395">
        <v>1</v>
      </c>
      <c r="C18" s="9" t="str">
        <f>IF('Ballot Entry'!M19&lt;&gt;9999,'Ballot Entry'!M19, "")</f>
        <v/>
      </c>
      <c r="D18" s="9" t="str">
        <f>IF('Ballot Entry'!N19&lt;&gt;9999,'Ballot Entry'!N19, "")</f>
        <v/>
      </c>
      <c r="E18" s="9" t="str">
        <f>IF('Ballot Entry'!$M19&lt;&gt;9999,'Ballot Entry'!O19,"")</f>
        <v/>
      </c>
      <c r="F18" s="9" t="e">
        <f t="shared" si="4"/>
        <v>#N/A</v>
      </c>
      <c r="G18" s="9" t="e">
        <f t="shared" si="3"/>
        <v>#VALUE!</v>
      </c>
      <c r="H18" s="396" t="e">
        <f>'Captains Info'!N60</f>
        <v>#N/A</v>
      </c>
      <c r="I18" s="396" t="e">
        <f t="shared" si="1"/>
        <v>#N/A</v>
      </c>
      <c r="J18" s="396" t="e">
        <f>'Captains Info'!O60</f>
        <v>#N/A</v>
      </c>
      <c r="K18" s="396" t="e">
        <f t="shared" si="2"/>
        <v>#N/A</v>
      </c>
    </row>
    <row r="19" spans="1:11" x14ac:dyDescent="0.2">
      <c r="A19" s="395">
        <v>1</v>
      </c>
      <c r="B19" s="395">
        <v>1</v>
      </c>
      <c r="C19" s="9" t="str">
        <f>IF('Ballot Entry'!M20&lt;&gt;9999,'Ballot Entry'!M20, "")</f>
        <v/>
      </c>
      <c r="D19" s="9" t="str">
        <f>IF('Ballot Entry'!N20&lt;&gt;9999,'Ballot Entry'!N20, "")</f>
        <v/>
      </c>
      <c r="E19" s="9" t="str">
        <f>IF('Ballot Entry'!$M20&lt;&gt;9999,'Ballot Entry'!O20,"")</f>
        <v/>
      </c>
      <c r="F19" s="9" t="e">
        <f t="shared" si="4"/>
        <v>#N/A</v>
      </c>
      <c r="G19" s="9" t="e">
        <f t="shared" si="3"/>
        <v>#VALUE!</v>
      </c>
      <c r="H19" s="396" t="e">
        <f>'Captains Info'!N63</f>
        <v>#N/A</v>
      </c>
      <c r="I19" s="396" t="e">
        <f t="shared" si="1"/>
        <v>#N/A</v>
      </c>
      <c r="J19" s="396" t="e">
        <f>'Captains Info'!O63</f>
        <v>#N/A</v>
      </c>
      <c r="K19" s="396" t="e">
        <f t="shared" si="2"/>
        <v>#N/A</v>
      </c>
    </row>
    <row r="20" spans="1:11" x14ac:dyDescent="0.2">
      <c r="A20" s="395">
        <v>1</v>
      </c>
      <c r="B20" s="395">
        <v>1</v>
      </c>
      <c r="C20" s="9" t="str">
        <f>IF('Ballot Entry'!M21&lt;&gt;9999,'Ballot Entry'!M21, "")</f>
        <v/>
      </c>
      <c r="D20" s="9" t="str">
        <f>IF('Ballot Entry'!N21&lt;&gt;9999,'Ballot Entry'!N21, "")</f>
        <v/>
      </c>
      <c r="E20" s="9" t="str">
        <f>IF('Ballot Entry'!$M21&lt;&gt;9999,'Ballot Entry'!O21,"")</f>
        <v/>
      </c>
      <c r="F20" s="9" t="e">
        <f t="shared" si="4"/>
        <v>#N/A</v>
      </c>
      <c r="G20" s="9" t="e">
        <f t="shared" si="3"/>
        <v>#VALUE!</v>
      </c>
      <c r="H20" s="396" t="e">
        <f>'Captains Info'!N66</f>
        <v>#N/A</v>
      </c>
      <c r="I20" s="396" t="e">
        <f t="shared" si="1"/>
        <v>#N/A</v>
      </c>
      <c r="J20" s="396" t="e">
        <f>'Captains Info'!O66</f>
        <v>#N/A</v>
      </c>
      <c r="K20" s="396" t="e">
        <f t="shared" si="2"/>
        <v>#N/A</v>
      </c>
    </row>
    <row r="21" spans="1:11" x14ac:dyDescent="0.2">
      <c r="A21" s="395">
        <v>1</v>
      </c>
      <c r="B21" s="395">
        <v>1</v>
      </c>
      <c r="C21" s="9" t="str">
        <f>IF('Ballot Entry'!M22&lt;&gt;9999,'Ballot Entry'!M22, "")</f>
        <v/>
      </c>
      <c r="D21" s="9" t="str">
        <f>IF('Ballot Entry'!N22&lt;&gt;9999,'Ballot Entry'!N22, "")</f>
        <v/>
      </c>
      <c r="E21" s="9" t="str">
        <f>IF('Ballot Entry'!$M22&lt;&gt;9999,'Ballot Entry'!O22,"")</f>
        <v/>
      </c>
      <c r="F21" s="9" t="e">
        <f t="shared" si="4"/>
        <v>#N/A</v>
      </c>
      <c r="G21" s="9" t="e">
        <f t="shared" si="3"/>
        <v>#VALUE!</v>
      </c>
      <c r="H21" s="396" t="e">
        <f>'Captains Info'!N69</f>
        <v>#N/A</v>
      </c>
      <c r="I21" s="396" t="e">
        <f t="shared" si="1"/>
        <v>#N/A</v>
      </c>
      <c r="J21" s="396" t="e">
        <f>'Captains Info'!O69</f>
        <v>#N/A</v>
      </c>
      <c r="K21" s="396" t="e">
        <f t="shared" si="2"/>
        <v>#N/A</v>
      </c>
    </row>
    <row r="22" spans="1:11" x14ac:dyDescent="0.2">
      <c r="A22" s="395">
        <v>1</v>
      </c>
      <c r="B22" s="395">
        <v>1</v>
      </c>
      <c r="C22" s="9" t="str">
        <f>IF('Ballot Entry'!M23&lt;&gt;9999,'Ballot Entry'!M23, "")</f>
        <v/>
      </c>
      <c r="D22" s="9" t="str">
        <f>IF('Ballot Entry'!N23&lt;&gt;9999,'Ballot Entry'!N23, "")</f>
        <v/>
      </c>
      <c r="E22" s="9" t="str">
        <f>IF('Ballot Entry'!$M23&lt;&gt;9999,'Ballot Entry'!O23,"")</f>
        <v/>
      </c>
      <c r="F22" s="9" t="e">
        <f t="shared" ref="F22:F36" si="5">IF(E22="",NA(),IF(E22&gt;0, "P", IF(E22&lt;0,"D", "T")))</f>
        <v>#N/A</v>
      </c>
      <c r="G22" s="9" t="e">
        <f t="shared" ref="G22:G36" si="6">ABS(E22)</f>
        <v>#VALUE!</v>
      </c>
      <c r="H22" s="396" t="e">
        <f>'Captains Info'!N72</f>
        <v>#N/A</v>
      </c>
      <c r="I22" s="396" t="e">
        <f t="shared" si="1"/>
        <v>#N/A</v>
      </c>
      <c r="J22" s="396" t="e">
        <f>'Captains Info'!O72</f>
        <v>#N/A</v>
      </c>
      <c r="K22" s="396" t="e">
        <f t="shared" si="2"/>
        <v>#N/A</v>
      </c>
    </row>
    <row r="23" spans="1:11" x14ac:dyDescent="0.2">
      <c r="A23" s="395">
        <v>1</v>
      </c>
      <c r="B23" s="395">
        <v>1</v>
      </c>
      <c r="C23" s="9" t="str">
        <f>IF('Ballot Entry'!M24&lt;&gt;9999,'Ballot Entry'!M24, "")</f>
        <v/>
      </c>
      <c r="D23" s="9" t="str">
        <f>IF('Ballot Entry'!N24&lt;&gt;9999,'Ballot Entry'!N24, "")</f>
        <v/>
      </c>
      <c r="E23" s="9" t="str">
        <f>IF('Ballot Entry'!$M24&lt;&gt;9999,'Ballot Entry'!O24,"")</f>
        <v/>
      </c>
      <c r="F23" s="9" t="e">
        <f t="shared" si="5"/>
        <v>#N/A</v>
      </c>
      <c r="G23" s="9" t="e">
        <f t="shared" si="6"/>
        <v>#VALUE!</v>
      </c>
      <c r="H23" s="396" t="e">
        <f>'Captains Info'!N75</f>
        <v>#N/A</v>
      </c>
      <c r="I23" s="396" t="e">
        <f t="shared" si="1"/>
        <v>#N/A</v>
      </c>
      <c r="J23" s="396" t="e">
        <f>'Captains Info'!O75</f>
        <v>#N/A</v>
      </c>
      <c r="K23" s="396" t="e">
        <f t="shared" si="2"/>
        <v>#N/A</v>
      </c>
    </row>
    <row r="24" spans="1:11" x14ac:dyDescent="0.2">
      <c r="A24" s="395">
        <v>1</v>
      </c>
      <c r="B24" s="395">
        <v>1</v>
      </c>
      <c r="C24" s="9" t="str">
        <f>IF('Ballot Entry'!M25&lt;&gt;9999,'Ballot Entry'!M25, "")</f>
        <v/>
      </c>
      <c r="D24" s="9" t="str">
        <f>IF('Ballot Entry'!N25&lt;&gt;9999,'Ballot Entry'!N25, "")</f>
        <v/>
      </c>
      <c r="E24" s="9" t="str">
        <f>IF('Ballot Entry'!$M25&lt;&gt;9999,'Ballot Entry'!O25,"")</f>
        <v/>
      </c>
      <c r="F24" s="9" t="e">
        <f t="shared" si="5"/>
        <v>#N/A</v>
      </c>
      <c r="G24" s="9" t="e">
        <f t="shared" si="6"/>
        <v>#VALUE!</v>
      </c>
      <c r="H24" s="396" t="e">
        <f>'Captains Info'!N78</f>
        <v>#N/A</v>
      </c>
      <c r="I24" s="396" t="e">
        <f t="shared" si="1"/>
        <v>#N/A</v>
      </c>
      <c r="J24" s="396" t="e">
        <f>'Captains Info'!O78</f>
        <v>#N/A</v>
      </c>
      <c r="K24" s="396" t="e">
        <f t="shared" si="2"/>
        <v>#N/A</v>
      </c>
    </row>
    <row r="25" spans="1:11" x14ac:dyDescent="0.2">
      <c r="A25" s="395">
        <v>1</v>
      </c>
      <c r="B25" s="395">
        <v>1</v>
      </c>
      <c r="C25" s="9" t="str">
        <f>IF('Ballot Entry'!M26&lt;&gt;9999,'Ballot Entry'!M26, "")</f>
        <v/>
      </c>
      <c r="D25" s="9" t="str">
        <f>IF('Ballot Entry'!N26&lt;&gt;9999,'Ballot Entry'!N26, "")</f>
        <v/>
      </c>
      <c r="E25" s="9" t="str">
        <f>IF('Ballot Entry'!$M26&lt;&gt;9999,'Ballot Entry'!O26,"")</f>
        <v/>
      </c>
      <c r="F25" s="9" t="e">
        <f t="shared" si="5"/>
        <v>#N/A</v>
      </c>
      <c r="G25" s="9" t="e">
        <f t="shared" si="6"/>
        <v>#VALUE!</v>
      </c>
      <c r="H25" s="396" t="e">
        <f>'Captains Info'!N81</f>
        <v>#N/A</v>
      </c>
      <c r="I25" s="396" t="e">
        <f t="shared" si="1"/>
        <v>#N/A</v>
      </c>
      <c r="J25" s="396" t="e">
        <f>'Captains Info'!O81</f>
        <v>#N/A</v>
      </c>
      <c r="K25" s="396" t="e">
        <f t="shared" si="2"/>
        <v>#N/A</v>
      </c>
    </row>
    <row r="26" spans="1:11" x14ac:dyDescent="0.2">
      <c r="A26" s="395">
        <v>1</v>
      </c>
      <c r="B26" s="395">
        <v>1</v>
      </c>
      <c r="C26" s="9" t="str">
        <f>IF('Ballot Entry'!M27&lt;&gt;9999,'Ballot Entry'!M27, "")</f>
        <v/>
      </c>
      <c r="D26" s="9" t="str">
        <f>IF('Ballot Entry'!N27&lt;&gt;9999,'Ballot Entry'!N27, "")</f>
        <v/>
      </c>
      <c r="E26" s="9" t="str">
        <f>IF('Ballot Entry'!$M27&lt;&gt;9999,'Ballot Entry'!O27,"")</f>
        <v/>
      </c>
      <c r="F26" s="9" t="e">
        <f t="shared" si="5"/>
        <v>#N/A</v>
      </c>
      <c r="G26" s="9" t="e">
        <f t="shared" si="6"/>
        <v>#VALUE!</v>
      </c>
      <c r="H26" s="396" t="e">
        <f>'Captains Info'!N84</f>
        <v>#N/A</v>
      </c>
      <c r="I26" s="396" t="e">
        <f t="shared" si="1"/>
        <v>#N/A</v>
      </c>
      <c r="J26" s="396" t="e">
        <f>'Captains Info'!O84</f>
        <v>#N/A</v>
      </c>
      <c r="K26" s="396" t="e">
        <f t="shared" si="2"/>
        <v>#N/A</v>
      </c>
    </row>
    <row r="27" spans="1:11" x14ac:dyDescent="0.2">
      <c r="A27" s="395">
        <v>1</v>
      </c>
      <c r="B27" s="395">
        <v>1</v>
      </c>
      <c r="C27" s="9" t="str">
        <f>IF('Ballot Entry'!M28&lt;&gt;9999,'Ballot Entry'!M28, "")</f>
        <v/>
      </c>
      <c r="D27" s="9" t="str">
        <f>IF('Ballot Entry'!N28&lt;&gt;9999,'Ballot Entry'!N28, "")</f>
        <v/>
      </c>
      <c r="E27" s="9" t="str">
        <f>IF('Ballot Entry'!$M28&lt;&gt;9999,'Ballot Entry'!O28,"")</f>
        <v/>
      </c>
      <c r="F27" s="9" t="e">
        <f t="shared" si="5"/>
        <v>#N/A</v>
      </c>
      <c r="G27" s="9" t="e">
        <f t="shared" si="6"/>
        <v>#VALUE!</v>
      </c>
      <c r="H27" s="396" t="e">
        <f>'Captains Info'!N87</f>
        <v>#N/A</v>
      </c>
      <c r="I27" s="396" t="e">
        <f t="shared" si="1"/>
        <v>#N/A</v>
      </c>
      <c r="J27" s="396" t="e">
        <f>'Captains Info'!O87</f>
        <v>#N/A</v>
      </c>
      <c r="K27" s="396" t="e">
        <f t="shared" si="2"/>
        <v>#N/A</v>
      </c>
    </row>
    <row r="28" spans="1:11" x14ac:dyDescent="0.2">
      <c r="A28" s="395">
        <v>1</v>
      </c>
      <c r="B28" s="395">
        <v>1</v>
      </c>
      <c r="C28" s="9" t="str">
        <f>IF('Ballot Entry'!M29&lt;&gt;9999,'Ballot Entry'!M29, "")</f>
        <v/>
      </c>
      <c r="D28" s="9" t="str">
        <f>IF('Ballot Entry'!N29&lt;&gt;9999,'Ballot Entry'!N29, "")</f>
        <v/>
      </c>
      <c r="E28" s="9" t="str">
        <f>IF('Ballot Entry'!$M29&lt;&gt;9999,'Ballot Entry'!O29,"")</f>
        <v/>
      </c>
      <c r="F28" s="9" t="e">
        <f t="shared" si="5"/>
        <v>#N/A</v>
      </c>
      <c r="G28" s="9" t="e">
        <f t="shared" si="6"/>
        <v>#VALUE!</v>
      </c>
      <c r="H28" s="396" t="e">
        <f>'Captains Info'!N90</f>
        <v>#N/A</v>
      </c>
      <c r="I28" s="396" t="e">
        <f t="shared" si="1"/>
        <v>#N/A</v>
      </c>
      <c r="J28" s="396" t="e">
        <f>'Captains Info'!O90</f>
        <v>#N/A</v>
      </c>
      <c r="K28" s="396" t="e">
        <f t="shared" si="2"/>
        <v>#N/A</v>
      </c>
    </row>
    <row r="29" spans="1:11" x14ac:dyDescent="0.2">
      <c r="A29" s="395">
        <v>1</v>
      </c>
      <c r="B29" s="395">
        <v>1</v>
      </c>
      <c r="C29" s="9" t="str">
        <f>IF('Ballot Entry'!M30&lt;&gt;9999,'Ballot Entry'!M30, "")</f>
        <v/>
      </c>
      <c r="D29" s="9" t="str">
        <f>IF('Ballot Entry'!N30&lt;&gt;9999,'Ballot Entry'!N30, "")</f>
        <v/>
      </c>
      <c r="E29" s="9" t="str">
        <f>IF('Ballot Entry'!$M30&lt;&gt;9999,'Ballot Entry'!O30,"")</f>
        <v/>
      </c>
      <c r="F29" s="9" t="e">
        <f t="shared" si="5"/>
        <v>#N/A</v>
      </c>
      <c r="G29" s="9" t="e">
        <f t="shared" si="6"/>
        <v>#VALUE!</v>
      </c>
      <c r="H29" s="396" t="e">
        <f>'Captains Info'!N93</f>
        <v>#N/A</v>
      </c>
      <c r="I29" s="396" t="e">
        <f t="shared" si="1"/>
        <v>#N/A</v>
      </c>
      <c r="J29" s="396" t="e">
        <f>'Captains Info'!O93</f>
        <v>#N/A</v>
      </c>
      <c r="K29" s="396" t="e">
        <f t="shared" si="2"/>
        <v>#N/A</v>
      </c>
    </row>
    <row r="30" spans="1:11" x14ac:dyDescent="0.2">
      <c r="A30" s="395">
        <v>1</v>
      </c>
      <c r="B30" s="395">
        <v>1</v>
      </c>
      <c r="C30" s="9" t="str">
        <f>IF('Ballot Entry'!M31&lt;&gt;9999,'Ballot Entry'!M31, "")</f>
        <v/>
      </c>
      <c r="D30" s="9" t="str">
        <f>IF('Ballot Entry'!N31&lt;&gt;9999,'Ballot Entry'!N31, "")</f>
        <v/>
      </c>
      <c r="E30" s="9" t="str">
        <f>IF('Ballot Entry'!$M31&lt;&gt;9999,'Ballot Entry'!O31,"")</f>
        <v/>
      </c>
      <c r="F30" s="9" t="e">
        <f t="shared" si="5"/>
        <v>#N/A</v>
      </c>
      <c r="G30" s="9" t="e">
        <f t="shared" si="6"/>
        <v>#VALUE!</v>
      </c>
      <c r="H30" s="396" t="e">
        <f>'Captains Info'!N96</f>
        <v>#N/A</v>
      </c>
      <c r="I30" s="396" t="e">
        <f t="shared" si="1"/>
        <v>#N/A</v>
      </c>
      <c r="J30" s="396" t="e">
        <f>'Captains Info'!O96</f>
        <v>#N/A</v>
      </c>
      <c r="K30" s="396" t="e">
        <f t="shared" si="2"/>
        <v>#N/A</v>
      </c>
    </row>
    <row r="31" spans="1:11" x14ac:dyDescent="0.2">
      <c r="A31" s="395">
        <v>1</v>
      </c>
      <c r="B31" s="395">
        <v>1</v>
      </c>
      <c r="C31" s="9" t="str">
        <f>IF('Ballot Entry'!M32&lt;&gt;9999,'Ballot Entry'!M32, "")</f>
        <v/>
      </c>
      <c r="D31" s="9" t="str">
        <f>IF('Ballot Entry'!N32&lt;&gt;9999,'Ballot Entry'!N32, "")</f>
        <v/>
      </c>
      <c r="E31" s="9" t="str">
        <f>IF('Ballot Entry'!$M32&lt;&gt;9999,'Ballot Entry'!O32,"")</f>
        <v/>
      </c>
      <c r="F31" s="9" t="e">
        <f t="shared" si="5"/>
        <v>#N/A</v>
      </c>
      <c r="G31" s="9" t="e">
        <f t="shared" si="6"/>
        <v>#VALUE!</v>
      </c>
      <c r="H31" s="396" t="e">
        <f>'Captains Info'!N99</f>
        <v>#N/A</v>
      </c>
      <c r="I31" s="396" t="e">
        <f t="shared" si="1"/>
        <v>#N/A</v>
      </c>
      <c r="J31" s="396" t="e">
        <f>'Captains Info'!O99</f>
        <v>#N/A</v>
      </c>
      <c r="K31" s="396" t="e">
        <f t="shared" si="2"/>
        <v>#N/A</v>
      </c>
    </row>
    <row r="32" spans="1:11" x14ac:dyDescent="0.2">
      <c r="A32" s="395">
        <v>1</v>
      </c>
      <c r="B32" s="395">
        <v>1</v>
      </c>
      <c r="C32" s="9" t="str">
        <f>IF('Ballot Entry'!M33&lt;&gt;9999,'Ballot Entry'!M33, "")</f>
        <v/>
      </c>
      <c r="D32" s="9" t="str">
        <f>IF('Ballot Entry'!N33&lt;&gt;9999,'Ballot Entry'!N33, "")</f>
        <v/>
      </c>
      <c r="E32" s="9" t="str">
        <f>IF('Ballot Entry'!$M33&lt;&gt;9999,'Ballot Entry'!O33,"")</f>
        <v/>
      </c>
      <c r="F32" s="9" t="e">
        <f t="shared" si="5"/>
        <v>#N/A</v>
      </c>
      <c r="G32" s="9" t="e">
        <f t="shared" si="6"/>
        <v>#VALUE!</v>
      </c>
      <c r="H32" s="396" t="e">
        <f>'Captains Info'!N102</f>
        <v>#N/A</v>
      </c>
      <c r="I32" s="396" t="e">
        <f t="shared" si="1"/>
        <v>#N/A</v>
      </c>
      <c r="J32" s="396" t="e">
        <f>'Captains Info'!O102</f>
        <v>#N/A</v>
      </c>
      <c r="K32" s="396" t="e">
        <f t="shared" si="2"/>
        <v>#N/A</v>
      </c>
    </row>
    <row r="33" spans="1:11" x14ac:dyDescent="0.2">
      <c r="A33" s="395">
        <v>1</v>
      </c>
      <c r="B33" s="395">
        <v>1</v>
      </c>
      <c r="C33" s="9" t="str">
        <f>IF('Ballot Entry'!M34&lt;&gt;9999,'Ballot Entry'!M34, "")</f>
        <v/>
      </c>
      <c r="D33" s="9" t="str">
        <f>IF('Ballot Entry'!N34&lt;&gt;9999,'Ballot Entry'!N34, "")</f>
        <v/>
      </c>
      <c r="E33" s="9" t="str">
        <f>IF('Ballot Entry'!$M34&lt;&gt;9999,'Ballot Entry'!O34,"")</f>
        <v/>
      </c>
      <c r="F33" s="9" t="e">
        <f t="shared" si="5"/>
        <v>#N/A</v>
      </c>
      <c r="G33" s="9" t="e">
        <f t="shared" si="6"/>
        <v>#VALUE!</v>
      </c>
      <c r="H33" s="396" t="e">
        <f>'Captains Info'!N105</f>
        <v>#N/A</v>
      </c>
      <c r="I33" s="396" t="e">
        <f t="shared" si="1"/>
        <v>#N/A</v>
      </c>
      <c r="J33" s="396" t="e">
        <f>'Captains Info'!O105</f>
        <v>#N/A</v>
      </c>
      <c r="K33" s="396" t="e">
        <f t="shared" si="2"/>
        <v>#N/A</v>
      </c>
    </row>
    <row r="34" spans="1:11" x14ac:dyDescent="0.2">
      <c r="A34" s="395">
        <v>1</v>
      </c>
      <c r="B34" s="395">
        <v>1</v>
      </c>
      <c r="C34" s="9" t="str">
        <f>IF('Ballot Entry'!M35&lt;&gt;9999,'Ballot Entry'!M35, "")</f>
        <v/>
      </c>
      <c r="D34" s="9" t="str">
        <f>IF('Ballot Entry'!N35&lt;&gt;9999,'Ballot Entry'!N35, "")</f>
        <v/>
      </c>
      <c r="E34" s="9" t="str">
        <f>IF('Ballot Entry'!$M35&lt;&gt;9999,'Ballot Entry'!O35,"")</f>
        <v/>
      </c>
      <c r="F34" s="9" t="e">
        <f t="shared" si="5"/>
        <v>#N/A</v>
      </c>
      <c r="G34" s="9" t="e">
        <f t="shared" si="6"/>
        <v>#VALUE!</v>
      </c>
      <c r="H34" s="396" t="e">
        <f>'Captains Info'!N108</f>
        <v>#N/A</v>
      </c>
      <c r="I34" s="396" t="e">
        <f t="shared" si="1"/>
        <v>#N/A</v>
      </c>
      <c r="J34" s="396" t="e">
        <f>'Captains Info'!O108</f>
        <v>#N/A</v>
      </c>
      <c r="K34" s="396" t="e">
        <f t="shared" ref="K34:K65" si="7">VLOOKUP(J34,DComb,2,FALSE )</f>
        <v>#N/A</v>
      </c>
    </row>
    <row r="35" spans="1:11" x14ac:dyDescent="0.2">
      <c r="A35" s="395">
        <v>1</v>
      </c>
      <c r="B35" s="395">
        <v>1</v>
      </c>
      <c r="C35" s="9" t="str">
        <f>IF('Ballot Entry'!M36&lt;&gt;9999,'Ballot Entry'!M36, "")</f>
        <v/>
      </c>
      <c r="D35" s="9" t="str">
        <f>IF('Ballot Entry'!N36&lt;&gt;9999,'Ballot Entry'!N36, "")</f>
        <v/>
      </c>
      <c r="E35" s="9" t="str">
        <f>IF('Ballot Entry'!$M36&lt;&gt;9999,'Ballot Entry'!O36,"")</f>
        <v/>
      </c>
      <c r="F35" s="9" t="e">
        <f t="shared" si="5"/>
        <v>#N/A</v>
      </c>
      <c r="G35" s="9" t="e">
        <f t="shared" si="6"/>
        <v>#VALUE!</v>
      </c>
      <c r="H35" s="396" t="e">
        <f>'Captains Info'!N111</f>
        <v>#N/A</v>
      </c>
      <c r="I35" s="396" t="e">
        <f t="shared" si="1"/>
        <v>#N/A</v>
      </c>
      <c r="J35" s="396" t="e">
        <f>'Captains Info'!O111</f>
        <v>#N/A</v>
      </c>
      <c r="K35" s="396" t="e">
        <f t="shared" si="7"/>
        <v>#N/A</v>
      </c>
    </row>
    <row r="36" spans="1:11" x14ac:dyDescent="0.2">
      <c r="A36" s="395">
        <v>1</v>
      </c>
      <c r="B36" s="395">
        <v>1</v>
      </c>
      <c r="C36" s="9" t="str">
        <f>IF('Ballot Entry'!M37&lt;&gt;9999,'Ballot Entry'!M37, "")</f>
        <v/>
      </c>
      <c r="D36" s="9" t="str">
        <f>IF('Ballot Entry'!N37&lt;&gt;9999,'Ballot Entry'!N37, "")</f>
        <v/>
      </c>
      <c r="E36" s="9" t="str">
        <f>IF('Ballot Entry'!$M37&lt;&gt;9999,'Ballot Entry'!O37,"")</f>
        <v/>
      </c>
      <c r="F36" s="9" t="e">
        <f t="shared" si="5"/>
        <v>#N/A</v>
      </c>
      <c r="G36" s="9" t="e">
        <f t="shared" si="6"/>
        <v>#VALUE!</v>
      </c>
      <c r="H36" s="396" t="e">
        <f>'Captains Info'!N114</f>
        <v>#N/A</v>
      </c>
      <c r="I36" s="396" t="e">
        <f t="shared" si="1"/>
        <v>#N/A</v>
      </c>
      <c r="J36" s="396" t="e">
        <f>'Captains Info'!O114</f>
        <v>#N/A</v>
      </c>
      <c r="K36" s="396" t="e">
        <f t="shared" si="7"/>
        <v>#N/A</v>
      </c>
    </row>
    <row r="37" spans="1:11" x14ac:dyDescent="0.2">
      <c r="A37" s="395">
        <v>1</v>
      </c>
      <c r="B37" s="395">
        <v>2</v>
      </c>
      <c r="C37" s="9">
        <f>IF('Ballot Entry'!M3&lt;&gt;9999,'Ballot Entry'!M3, "")</f>
        <v>1029</v>
      </c>
      <c r="D37" s="9">
        <f>IF('Ballot Entry'!N3&lt;&gt;9999,'Ballot Entry'!N3, "")</f>
        <v>1001</v>
      </c>
      <c r="E37" s="9">
        <f>IF('Ballot Entry'!$M3&lt;&gt;9999,'Ballot Entry'!P3,"")</f>
        <v>-4</v>
      </c>
      <c r="F37" s="9" t="str">
        <f t="shared" si="4"/>
        <v>D</v>
      </c>
      <c r="G37" s="9">
        <f t="shared" si="3"/>
        <v>4</v>
      </c>
      <c r="H37" s="395" t="e">
        <f>H2</f>
        <v>#N/A</v>
      </c>
      <c r="I37" s="396" t="e">
        <f>I2</f>
        <v>#N/A</v>
      </c>
      <c r="J37" s="395" t="e">
        <f>J2</f>
        <v>#N/A</v>
      </c>
      <c r="K37" s="396" t="e">
        <f t="shared" si="7"/>
        <v>#N/A</v>
      </c>
    </row>
    <row r="38" spans="1:11" x14ac:dyDescent="0.2">
      <c r="A38" s="395">
        <v>1</v>
      </c>
      <c r="B38" s="395">
        <v>2</v>
      </c>
      <c r="C38" s="9">
        <f>IF('Ballot Entry'!M4&lt;&gt;9999,'Ballot Entry'!M4, "")</f>
        <v>1268</v>
      </c>
      <c r="D38" s="9">
        <f>IF('Ballot Entry'!N4&lt;&gt;9999,'Ballot Entry'!N4, "")</f>
        <v>1078</v>
      </c>
      <c r="E38" s="9">
        <f>IF('Ballot Entry'!$M4&lt;&gt;9999,'Ballot Entry'!P4,"")</f>
        <v>-7</v>
      </c>
      <c r="F38" s="9" t="str">
        <f t="shared" si="4"/>
        <v>D</v>
      </c>
      <c r="G38" s="9">
        <f t="shared" si="3"/>
        <v>7</v>
      </c>
      <c r="H38" s="395" t="e">
        <f t="shared" ref="H38:J38" si="8">H3</f>
        <v>#N/A</v>
      </c>
      <c r="I38" s="396" t="e">
        <f t="shared" si="8"/>
        <v>#N/A</v>
      </c>
      <c r="J38" s="395" t="e">
        <f t="shared" si="8"/>
        <v>#N/A</v>
      </c>
      <c r="K38" s="396" t="e">
        <f t="shared" si="7"/>
        <v>#N/A</v>
      </c>
    </row>
    <row r="39" spans="1:11" x14ac:dyDescent="0.2">
      <c r="A39" s="395">
        <v>1</v>
      </c>
      <c r="B39" s="395">
        <v>2</v>
      </c>
      <c r="C39" s="9">
        <f>IF('Ballot Entry'!M5&lt;&gt;9999,'Ballot Entry'!M5, "")</f>
        <v>1506</v>
      </c>
      <c r="D39" s="9">
        <f>IF('Ballot Entry'!N5&lt;&gt;9999,'Ballot Entry'!N5, "")</f>
        <v>1224</v>
      </c>
      <c r="E39" s="9">
        <f>IF('Ballot Entry'!$M5&lt;&gt;9999,'Ballot Entry'!P5,"")</f>
        <v>15</v>
      </c>
      <c r="F39" s="9" t="str">
        <f t="shared" si="4"/>
        <v>P</v>
      </c>
      <c r="G39" s="9">
        <f t="shared" si="3"/>
        <v>15</v>
      </c>
      <c r="H39" s="395" t="e">
        <f t="shared" ref="H39:J39" si="9">H4</f>
        <v>#N/A</v>
      </c>
      <c r="I39" s="396" t="e">
        <f t="shared" si="9"/>
        <v>#N/A</v>
      </c>
      <c r="J39" s="395" t="e">
        <f t="shared" si="9"/>
        <v>#N/A</v>
      </c>
      <c r="K39" s="396" t="e">
        <f t="shared" si="7"/>
        <v>#N/A</v>
      </c>
    </row>
    <row r="40" spans="1:11" x14ac:dyDescent="0.2">
      <c r="A40" s="395">
        <v>1</v>
      </c>
      <c r="B40" s="395">
        <v>2</v>
      </c>
      <c r="C40" s="9">
        <f>IF('Ballot Entry'!M6&lt;&gt;9999,'Ballot Entry'!M6, "")</f>
        <v>1410</v>
      </c>
      <c r="D40" s="9">
        <f>IF('Ballot Entry'!N6&lt;&gt;9999,'Ballot Entry'!N6, "")</f>
        <v>1616</v>
      </c>
      <c r="E40" s="9">
        <f>IF('Ballot Entry'!$M6&lt;&gt;9999,'Ballot Entry'!P6,"")</f>
        <v>-4</v>
      </c>
      <c r="F40" s="9" t="str">
        <f t="shared" si="4"/>
        <v>D</v>
      </c>
      <c r="G40" s="9">
        <f t="shared" si="3"/>
        <v>4</v>
      </c>
      <c r="H40" s="395" t="e">
        <f t="shared" ref="H40:J40" si="10">H5</f>
        <v>#N/A</v>
      </c>
      <c r="I40" s="396" t="e">
        <f t="shared" si="10"/>
        <v>#N/A</v>
      </c>
      <c r="J40" s="395" t="e">
        <f t="shared" si="10"/>
        <v>#N/A</v>
      </c>
      <c r="K40" s="396" t="e">
        <f t="shared" si="7"/>
        <v>#N/A</v>
      </c>
    </row>
    <row r="41" spans="1:11" x14ac:dyDescent="0.2">
      <c r="A41" s="395">
        <v>1</v>
      </c>
      <c r="B41" s="395">
        <v>2</v>
      </c>
      <c r="C41" s="9">
        <f>IF('Ballot Entry'!M7&lt;&gt;9999,'Ballot Entry'!M7, "")</f>
        <v>1557</v>
      </c>
      <c r="D41" s="9">
        <f>IF('Ballot Entry'!N7&lt;&gt;9999,'Ballot Entry'!N7, "")</f>
        <v>1517</v>
      </c>
      <c r="E41" s="9">
        <f>IF('Ballot Entry'!$M7&lt;&gt;9999,'Ballot Entry'!P7,"")</f>
        <v>5</v>
      </c>
      <c r="F41" s="9" t="str">
        <f t="shared" si="4"/>
        <v>P</v>
      </c>
      <c r="G41" s="9">
        <f t="shared" si="3"/>
        <v>5</v>
      </c>
      <c r="H41" s="395" t="e">
        <f t="shared" ref="H41:J41" si="11">H6</f>
        <v>#N/A</v>
      </c>
      <c r="I41" s="396" t="e">
        <f t="shared" si="11"/>
        <v>#N/A</v>
      </c>
      <c r="J41" s="395" t="e">
        <f t="shared" si="11"/>
        <v>#N/A</v>
      </c>
      <c r="K41" s="396" t="e">
        <f t="shared" si="7"/>
        <v>#N/A</v>
      </c>
    </row>
    <row r="42" spans="1:11" x14ac:dyDescent="0.2">
      <c r="A42" s="395">
        <v>1</v>
      </c>
      <c r="B42" s="395">
        <v>2</v>
      </c>
      <c r="C42" s="9">
        <f>IF('Ballot Entry'!M8&lt;&gt;9999,'Ballot Entry'!M8, "")</f>
        <v>1262</v>
      </c>
      <c r="D42" s="9">
        <f>IF('Ballot Entry'!N8&lt;&gt;9999,'Ballot Entry'!N8, "")</f>
        <v>1693</v>
      </c>
      <c r="E42" s="9">
        <f>IF('Ballot Entry'!$M8&lt;&gt;9999,'Ballot Entry'!P8,"")</f>
        <v>13</v>
      </c>
      <c r="F42" s="9" t="str">
        <f t="shared" si="4"/>
        <v>P</v>
      </c>
      <c r="G42" s="9">
        <f t="shared" si="3"/>
        <v>13</v>
      </c>
      <c r="H42" s="395" t="e">
        <f t="shared" ref="H42:J42" si="12">H7</f>
        <v>#N/A</v>
      </c>
      <c r="I42" s="396" t="e">
        <f t="shared" si="12"/>
        <v>#N/A</v>
      </c>
      <c r="J42" s="395" t="e">
        <f t="shared" si="12"/>
        <v>#N/A</v>
      </c>
      <c r="K42" s="396" t="e">
        <f t="shared" si="7"/>
        <v>#N/A</v>
      </c>
    </row>
    <row r="43" spans="1:11" x14ac:dyDescent="0.2">
      <c r="A43" s="395">
        <v>1</v>
      </c>
      <c r="B43" s="395">
        <v>2</v>
      </c>
      <c r="C43" s="9">
        <f>IF('Ballot Entry'!M9&lt;&gt;9999,'Ballot Entry'!M9, "")</f>
        <v>1258</v>
      </c>
      <c r="D43" s="9">
        <f>IF('Ballot Entry'!N9&lt;&gt;9999,'Ballot Entry'!N9, "")</f>
        <v>1217</v>
      </c>
      <c r="E43" s="9">
        <f>IF('Ballot Entry'!$M9&lt;&gt;9999,'Ballot Entry'!P9,"")</f>
        <v>7</v>
      </c>
      <c r="F43" s="9" t="str">
        <f t="shared" si="4"/>
        <v>P</v>
      </c>
      <c r="G43" s="9">
        <f t="shared" si="3"/>
        <v>7</v>
      </c>
      <c r="H43" s="395" t="e">
        <f t="shared" ref="H43:J43" si="13">H8</f>
        <v>#N/A</v>
      </c>
      <c r="I43" s="396" t="e">
        <f t="shared" si="13"/>
        <v>#N/A</v>
      </c>
      <c r="J43" s="395" t="e">
        <f t="shared" si="13"/>
        <v>#N/A</v>
      </c>
      <c r="K43" s="396" t="e">
        <f t="shared" si="7"/>
        <v>#N/A</v>
      </c>
    </row>
    <row r="44" spans="1:11" x14ac:dyDescent="0.2">
      <c r="A44" s="395">
        <v>1</v>
      </c>
      <c r="B44" s="395">
        <v>2</v>
      </c>
      <c r="C44" s="9">
        <f>IF('Ballot Entry'!M10&lt;&gt;9999,'Ballot Entry'!M10, "")</f>
        <v>1489</v>
      </c>
      <c r="D44" s="9">
        <f>IF('Ballot Entry'!N10&lt;&gt;9999,'Ballot Entry'!N10, "")</f>
        <v>1051</v>
      </c>
      <c r="E44" s="9">
        <f>IF('Ballot Entry'!$M10&lt;&gt;9999,'Ballot Entry'!P10,"")</f>
        <v>-4</v>
      </c>
      <c r="F44" s="9" t="str">
        <f t="shared" si="4"/>
        <v>D</v>
      </c>
      <c r="G44" s="9">
        <f t="shared" si="3"/>
        <v>4</v>
      </c>
      <c r="H44" s="395" t="e">
        <f t="shared" ref="H44:J44" si="14">H9</f>
        <v>#N/A</v>
      </c>
      <c r="I44" s="396" t="e">
        <f t="shared" si="14"/>
        <v>#N/A</v>
      </c>
      <c r="J44" s="395" t="e">
        <f t="shared" si="14"/>
        <v>#N/A</v>
      </c>
      <c r="K44" s="396" t="e">
        <f t="shared" si="7"/>
        <v>#N/A</v>
      </c>
    </row>
    <row r="45" spans="1:11" x14ac:dyDescent="0.2">
      <c r="A45" s="395">
        <v>1</v>
      </c>
      <c r="B45" s="395">
        <v>2</v>
      </c>
      <c r="C45" s="9">
        <f>IF('Ballot Entry'!M11&lt;&gt;9999,'Ballot Entry'!M11, "")</f>
        <v>1577</v>
      </c>
      <c r="D45" s="9">
        <f>IF('Ballot Entry'!N11&lt;&gt;9999,'Ballot Entry'!N11, "")</f>
        <v>1492</v>
      </c>
      <c r="E45" s="9">
        <f>IF('Ballot Entry'!$M11&lt;&gt;9999,'Ballot Entry'!P11,"")</f>
        <v>7</v>
      </c>
      <c r="F45" s="9" t="str">
        <f t="shared" si="4"/>
        <v>P</v>
      </c>
      <c r="G45" s="9">
        <f t="shared" si="3"/>
        <v>7</v>
      </c>
      <c r="H45" s="395" t="e">
        <f t="shared" ref="H45:J45" si="15">H10</f>
        <v>#N/A</v>
      </c>
      <c r="I45" s="396" t="e">
        <f t="shared" si="15"/>
        <v>#N/A</v>
      </c>
      <c r="J45" s="395" t="e">
        <f t="shared" si="15"/>
        <v>#N/A</v>
      </c>
      <c r="K45" s="396" t="e">
        <f t="shared" si="7"/>
        <v>#N/A</v>
      </c>
    </row>
    <row r="46" spans="1:11" x14ac:dyDescent="0.2">
      <c r="A46" s="395">
        <v>1</v>
      </c>
      <c r="B46" s="395">
        <v>2</v>
      </c>
      <c r="C46" s="9" t="str">
        <f>IF('Ballot Entry'!M12&lt;&gt;9999,'Ballot Entry'!M12, "")</f>
        <v/>
      </c>
      <c r="D46" s="9" t="str">
        <f>IF('Ballot Entry'!N12&lt;&gt;9999,'Ballot Entry'!N12, "")</f>
        <v/>
      </c>
      <c r="E46" s="9" t="str">
        <f>IF('Ballot Entry'!$M12&lt;&gt;9999,'Ballot Entry'!P12,"")</f>
        <v/>
      </c>
      <c r="F46" s="9" t="e">
        <f t="shared" si="4"/>
        <v>#N/A</v>
      </c>
      <c r="G46" s="9" t="e">
        <f t="shared" si="3"/>
        <v>#VALUE!</v>
      </c>
      <c r="H46" s="395" t="e">
        <f t="shared" ref="H46:J46" si="16">H11</f>
        <v>#N/A</v>
      </c>
      <c r="I46" s="396" t="e">
        <f t="shared" si="16"/>
        <v>#N/A</v>
      </c>
      <c r="J46" s="395" t="e">
        <f t="shared" si="16"/>
        <v>#N/A</v>
      </c>
      <c r="K46" s="396" t="e">
        <f t="shared" si="7"/>
        <v>#N/A</v>
      </c>
    </row>
    <row r="47" spans="1:11" x14ac:dyDescent="0.2">
      <c r="A47" s="395">
        <v>1</v>
      </c>
      <c r="B47" s="395">
        <v>2</v>
      </c>
      <c r="C47" s="9" t="str">
        <f>IF('Ballot Entry'!M13&lt;&gt;9999,'Ballot Entry'!M13, "")</f>
        <v/>
      </c>
      <c r="D47" s="9" t="str">
        <f>IF('Ballot Entry'!N13&lt;&gt;9999,'Ballot Entry'!N13, "")</f>
        <v/>
      </c>
      <c r="E47" s="9" t="str">
        <f>IF('Ballot Entry'!$M13&lt;&gt;9999,'Ballot Entry'!P13,"")</f>
        <v/>
      </c>
      <c r="F47" s="9" t="e">
        <f t="shared" si="4"/>
        <v>#N/A</v>
      </c>
      <c r="G47" s="9" t="e">
        <f t="shared" si="3"/>
        <v>#VALUE!</v>
      </c>
      <c r="H47" s="395" t="e">
        <f t="shared" ref="H47:J47" si="17">H12</f>
        <v>#N/A</v>
      </c>
      <c r="I47" s="396" t="e">
        <f t="shared" si="17"/>
        <v>#N/A</v>
      </c>
      <c r="J47" s="395" t="e">
        <f t="shared" si="17"/>
        <v>#N/A</v>
      </c>
      <c r="K47" s="396" t="e">
        <f t="shared" si="7"/>
        <v>#N/A</v>
      </c>
    </row>
    <row r="48" spans="1:11" x14ac:dyDescent="0.2">
      <c r="A48" s="395">
        <v>1</v>
      </c>
      <c r="B48" s="395">
        <v>2</v>
      </c>
      <c r="C48" s="9" t="str">
        <f>IF('Ballot Entry'!M14&lt;&gt;9999,'Ballot Entry'!M14, "")</f>
        <v/>
      </c>
      <c r="D48" s="9" t="str">
        <f>IF('Ballot Entry'!N14&lt;&gt;9999,'Ballot Entry'!N14, "")</f>
        <v/>
      </c>
      <c r="E48" s="9" t="str">
        <f>IF('Ballot Entry'!$M14&lt;&gt;9999,'Ballot Entry'!P14,"")</f>
        <v/>
      </c>
      <c r="F48" s="9" t="e">
        <f t="shared" si="4"/>
        <v>#N/A</v>
      </c>
      <c r="G48" s="9" t="e">
        <f t="shared" si="3"/>
        <v>#VALUE!</v>
      </c>
      <c r="H48" s="395" t="e">
        <f t="shared" ref="H48:J48" si="18">H13</f>
        <v>#N/A</v>
      </c>
      <c r="I48" s="396" t="e">
        <f t="shared" si="18"/>
        <v>#N/A</v>
      </c>
      <c r="J48" s="395" t="e">
        <f t="shared" si="18"/>
        <v>#N/A</v>
      </c>
      <c r="K48" s="396" t="e">
        <f t="shared" si="7"/>
        <v>#N/A</v>
      </c>
    </row>
    <row r="49" spans="1:11" x14ac:dyDescent="0.2">
      <c r="A49" s="395">
        <v>1</v>
      </c>
      <c r="B49" s="395">
        <v>2</v>
      </c>
      <c r="C49" s="9" t="str">
        <f>IF('Ballot Entry'!M15&lt;&gt;9999,'Ballot Entry'!M15, "")</f>
        <v/>
      </c>
      <c r="D49" s="9" t="str">
        <f>IF('Ballot Entry'!N15&lt;&gt;9999,'Ballot Entry'!N15, "")</f>
        <v/>
      </c>
      <c r="E49" s="9" t="str">
        <f>IF('Ballot Entry'!$M15&lt;&gt;9999,'Ballot Entry'!P15,"")</f>
        <v/>
      </c>
      <c r="F49" s="9" t="e">
        <f t="shared" si="4"/>
        <v>#N/A</v>
      </c>
      <c r="G49" s="9" t="e">
        <f t="shared" si="3"/>
        <v>#VALUE!</v>
      </c>
      <c r="H49" s="395" t="e">
        <f t="shared" ref="H49:J49" si="19">H14</f>
        <v>#N/A</v>
      </c>
      <c r="I49" s="396" t="e">
        <f t="shared" si="19"/>
        <v>#N/A</v>
      </c>
      <c r="J49" s="395" t="e">
        <f t="shared" si="19"/>
        <v>#N/A</v>
      </c>
      <c r="K49" s="396" t="e">
        <f t="shared" si="7"/>
        <v>#N/A</v>
      </c>
    </row>
    <row r="50" spans="1:11" x14ac:dyDescent="0.2">
      <c r="A50" s="395">
        <v>1</v>
      </c>
      <c r="B50" s="395">
        <v>2</v>
      </c>
      <c r="C50" s="9" t="str">
        <f>IF('Ballot Entry'!M16&lt;&gt;9999,'Ballot Entry'!M16, "")</f>
        <v/>
      </c>
      <c r="D50" s="9" t="str">
        <f>IF('Ballot Entry'!N16&lt;&gt;9999,'Ballot Entry'!N16, "")</f>
        <v/>
      </c>
      <c r="E50" s="9" t="str">
        <f>IF('Ballot Entry'!$M16&lt;&gt;9999,'Ballot Entry'!P16,"")</f>
        <v/>
      </c>
      <c r="F50" s="9" t="e">
        <f t="shared" si="4"/>
        <v>#N/A</v>
      </c>
      <c r="G50" s="9" t="e">
        <f t="shared" si="3"/>
        <v>#VALUE!</v>
      </c>
      <c r="H50" s="395" t="e">
        <f t="shared" ref="H50:J50" si="20">H15</f>
        <v>#N/A</v>
      </c>
      <c r="I50" s="396" t="e">
        <f t="shared" si="20"/>
        <v>#N/A</v>
      </c>
      <c r="J50" s="395" t="e">
        <f t="shared" si="20"/>
        <v>#N/A</v>
      </c>
      <c r="K50" s="396" t="e">
        <f t="shared" si="7"/>
        <v>#N/A</v>
      </c>
    </row>
    <row r="51" spans="1:11" x14ac:dyDescent="0.2">
      <c r="A51" s="395">
        <v>1</v>
      </c>
      <c r="B51" s="395">
        <v>2</v>
      </c>
      <c r="C51" s="9" t="str">
        <f>IF('Ballot Entry'!M17&lt;&gt;9999,'Ballot Entry'!M17, "")</f>
        <v/>
      </c>
      <c r="D51" s="9" t="str">
        <f>IF('Ballot Entry'!N17&lt;&gt;9999,'Ballot Entry'!N17, "")</f>
        <v/>
      </c>
      <c r="E51" s="9" t="str">
        <f>IF('Ballot Entry'!$M17&lt;&gt;9999,'Ballot Entry'!P17,"")</f>
        <v/>
      </c>
      <c r="F51" s="9" t="e">
        <f t="shared" si="4"/>
        <v>#N/A</v>
      </c>
      <c r="G51" s="9" t="e">
        <f t="shared" si="3"/>
        <v>#VALUE!</v>
      </c>
      <c r="H51" s="395" t="e">
        <f t="shared" ref="H51:J51" si="21">H16</f>
        <v>#N/A</v>
      </c>
      <c r="I51" s="396" t="e">
        <f t="shared" si="21"/>
        <v>#N/A</v>
      </c>
      <c r="J51" s="395" t="e">
        <f t="shared" si="21"/>
        <v>#N/A</v>
      </c>
      <c r="K51" s="396" t="e">
        <f t="shared" si="7"/>
        <v>#N/A</v>
      </c>
    </row>
    <row r="52" spans="1:11" x14ac:dyDescent="0.2">
      <c r="A52" s="395">
        <v>1</v>
      </c>
      <c r="B52" s="395">
        <v>2</v>
      </c>
      <c r="C52" s="9" t="str">
        <f>IF('Ballot Entry'!M18&lt;&gt;9999,'Ballot Entry'!M18, "")</f>
        <v/>
      </c>
      <c r="D52" s="9" t="str">
        <f>IF('Ballot Entry'!N18&lt;&gt;9999,'Ballot Entry'!N18, "")</f>
        <v/>
      </c>
      <c r="E52" s="9" t="str">
        <f>IF('Ballot Entry'!$M18&lt;&gt;9999,'Ballot Entry'!P18,"")</f>
        <v/>
      </c>
      <c r="F52" s="9" t="e">
        <f t="shared" si="4"/>
        <v>#N/A</v>
      </c>
      <c r="G52" s="9" t="e">
        <f t="shared" si="3"/>
        <v>#VALUE!</v>
      </c>
      <c r="H52" s="395" t="e">
        <f t="shared" ref="H52:J52" si="22">H17</f>
        <v>#N/A</v>
      </c>
      <c r="I52" s="396" t="e">
        <f t="shared" si="22"/>
        <v>#N/A</v>
      </c>
      <c r="J52" s="395" t="e">
        <f t="shared" si="22"/>
        <v>#N/A</v>
      </c>
      <c r="K52" s="396" t="e">
        <f t="shared" si="7"/>
        <v>#N/A</v>
      </c>
    </row>
    <row r="53" spans="1:11" x14ac:dyDescent="0.2">
      <c r="A53" s="395">
        <v>1</v>
      </c>
      <c r="B53" s="395">
        <v>2</v>
      </c>
      <c r="C53" s="9" t="str">
        <f>IF('Ballot Entry'!M19&lt;&gt;9999,'Ballot Entry'!M19, "")</f>
        <v/>
      </c>
      <c r="D53" s="9" t="str">
        <f>IF('Ballot Entry'!N19&lt;&gt;9999,'Ballot Entry'!N19, "")</f>
        <v/>
      </c>
      <c r="E53" s="9" t="str">
        <f>IF('Ballot Entry'!$M19&lt;&gt;9999,'Ballot Entry'!P19,"")</f>
        <v/>
      </c>
      <c r="F53" s="9" t="e">
        <f t="shared" si="4"/>
        <v>#N/A</v>
      </c>
      <c r="G53" s="9" t="e">
        <f t="shared" si="3"/>
        <v>#VALUE!</v>
      </c>
      <c r="H53" s="395" t="e">
        <f t="shared" ref="H53:J53" si="23">H18</f>
        <v>#N/A</v>
      </c>
      <c r="I53" s="396" t="e">
        <f t="shared" si="23"/>
        <v>#N/A</v>
      </c>
      <c r="J53" s="395" t="e">
        <f t="shared" si="23"/>
        <v>#N/A</v>
      </c>
      <c r="K53" s="396" t="e">
        <f t="shared" si="7"/>
        <v>#N/A</v>
      </c>
    </row>
    <row r="54" spans="1:11" x14ac:dyDescent="0.2">
      <c r="A54" s="395">
        <v>1</v>
      </c>
      <c r="B54" s="395">
        <v>2</v>
      </c>
      <c r="C54" s="9" t="str">
        <f>IF('Ballot Entry'!M20&lt;&gt;9999,'Ballot Entry'!M20, "")</f>
        <v/>
      </c>
      <c r="D54" s="9" t="str">
        <f>IF('Ballot Entry'!N20&lt;&gt;9999,'Ballot Entry'!N20, "")</f>
        <v/>
      </c>
      <c r="E54" s="9" t="str">
        <f>IF('Ballot Entry'!$M20&lt;&gt;9999,'Ballot Entry'!P20,"")</f>
        <v/>
      </c>
      <c r="F54" s="9" t="e">
        <f t="shared" si="4"/>
        <v>#N/A</v>
      </c>
      <c r="G54" s="9" t="e">
        <f t="shared" si="3"/>
        <v>#VALUE!</v>
      </c>
      <c r="H54" s="395" t="e">
        <f t="shared" ref="H54:J54" si="24">H19</f>
        <v>#N/A</v>
      </c>
      <c r="I54" s="396" t="e">
        <f t="shared" si="24"/>
        <v>#N/A</v>
      </c>
      <c r="J54" s="395" t="e">
        <f t="shared" si="24"/>
        <v>#N/A</v>
      </c>
      <c r="K54" s="396" t="e">
        <f t="shared" si="7"/>
        <v>#N/A</v>
      </c>
    </row>
    <row r="55" spans="1:11" x14ac:dyDescent="0.2">
      <c r="A55" s="395">
        <v>1</v>
      </c>
      <c r="B55" s="395">
        <v>2</v>
      </c>
      <c r="C55" s="9" t="str">
        <f>IF('Ballot Entry'!M21&lt;&gt;9999,'Ballot Entry'!M21, "")</f>
        <v/>
      </c>
      <c r="D55" s="9" t="str">
        <f>IF('Ballot Entry'!N21&lt;&gt;9999,'Ballot Entry'!N21, "")</f>
        <v/>
      </c>
      <c r="E55" s="9" t="str">
        <f>IF('Ballot Entry'!$M21&lt;&gt;9999,'Ballot Entry'!P21,"")</f>
        <v/>
      </c>
      <c r="F55" s="9" t="e">
        <f t="shared" si="4"/>
        <v>#N/A</v>
      </c>
      <c r="G55" s="9" t="e">
        <f t="shared" si="3"/>
        <v>#VALUE!</v>
      </c>
      <c r="H55" s="395" t="e">
        <f t="shared" ref="H55:J55" si="25">H20</f>
        <v>#N/A</v>
      </c>
      <c r="I55" s="396" t="e">
        <f t="shared" si="25"/>
        <v>#N/A</v>
      </c>
      <c r="J55" s="395" t="e">
        <f t="shared" si="25"/>
        <v>#N/A</v>
      </c>
      <c r="K55" s="396" t="e">
        <f t="shared" si="7"/>
        <v>#N/A</v>
      </c>
    </row>
    <row r="56" spans="1:11" x14ac:dyDescent="0.2">
      <c r="A56" s="395">
        <v>1</v>
      </c>
      <c r="B56" s="395">
        <v>2</v>
      </c>
      <c r="C56" s="9" t="str">
        <f>IF('Ballot Entry'!M22&lt;&gt;9999,'Ballot Entry'!M22, "")</f>
        <v/>
      </c>
      <c r="D56" s="9" t="str">
        <f>IF('Ballot Entry'!N22&lt;&gt;9999,'Ballot Entry'!N22, "")</f>
        <v/>
      </c>
      <c r="E56" s="9" t="str">
        <f>IF('Ballot Entry'!$M22&lt;&gt;9999,'Ballot Entry'!P22,"")</f>
        <v/>
      </c>
      <c r="F56" s="9" t="e">
        <f>IF(E56="",NA(),IF(E56&gt;0, "P", IF(E56&lt;0,"D", "T")))</f>
        <v>#N/A</v>
      </c>
      <c r="G56" s="9" t="e">
        <f>ABS(E56)</f>
        <v>#VALUE!</v>
      </c>
      <c r="H56" s="395" t="e">
        <f t="shared" ref="H56:J56" si="26">H21</f>
        <v>#N/A</v>
      </c>
      <c r="I56" s="396" t="e">
        <f t="shared" si="26"/>
        <v>#N/A</v>
      </c>
      <c r="J56" s="395" t="e">
        <f t="shared" si="26"/>
        <v>#N/A</v>
      </c>
      <c r="K56" s="396" t="e">
        <f t="shared" si="7"/>
        <v>#N/A</v>
      </c>
    </row>
    <row r="57" spans="1:11" x14ac:dyDescent="0.2">
      <c r="A57" s="395">
        <v>1</v>
      </c>
      <c r="B57" s="395">
        <v>2</v>
      </c>
      <c r="C57" s="9" t="str">
        <f>IF('Ballot Entry'!M23&lt;&gt;9999,'Ballot Entry'!M23, "")</f>
        <v/>
      </c>
      <c r="D57" s="9" t="str">
        <f>IF('Ballot Entry'!N23&lt;&gt;9999,'Ballot Entry'!N23, "")</f>
        <v/>
      </c>
      <c r="E57" s="9" t="str">
        <f>IF('Ballot Entry'!$M23&lt;&gt;9999,'Ballot Entry'!P23,"")</f>
        <v/>
      </c>
      <c r="F57" s="9" t="e">
        <f t="shared" ref="F57:F71" si="27">IF(E57="",NA(),IF(E57&gt;0, "P", IF(E57&lt;0,"D", "T")))</f>
        <v>#N/A</v>
      </c>
      <c r="G57" s="9" t="e">
        <f t="shared" ref="G57:G71" si="28">ABS(E57)</f>
        <v>#VALUE!</v>
      </c>
      <c r="H57" s="395" t="e">
        <f t="shared" ref="H57:J57" si="29">H22</f>
        <v>#N/A</v>
      </c>
      <c r="I57" s="396" t="e">
        <f t="shared" si="29"/>
        <v>#N/A</v>
      </c>
      <c r="J57" s="395" t="e">
        <f t="shared" si="29"/>
        <v>#N/A</v>
      </c>
      <c r="K57" s="396" t="e">
        <f t="shared" si="7"/>
        <v>#N/A</v>
      </c>
    </row>
    <row r="58" spans="1:11" x14ac:dyDescent="0.2">
      <c r="A58" s="395">
        <v>1</v>
      </c>
      <c r="B58" s="395">
        <v>2</v>
      </c>
      <c r="C58" s="9" t="str">
        <f>IF('Ballot Entry'!M24&lt;&gt;9999,'Ballot Entry'!M24, "")</f>
        <v/>
      </c>
      <c r="D58" s="9" t="str">
        <f>IF('Ballot Entry'!N24&lt;&gt;9999,'Ballot Entry'!N24, "")</f>
        <v/>
      </c>
      <c r="E58" s="9" t="str">
        <f>IF('Ballot Entry'!$M24&lt;&gt;9999,'Ballot Entry'!P24,"")</f>
        <v/>
      </c>
      <c r="F58" s="9" t="e">
        <f t="shared" si="27"/>
        <v>#N/A</v>
      </c>
      <c r="G58" s="9" t="e">
        <f t="shared" si="28"/>
        <v>#VALUE!</v>
      </c>
      <c r="H58" s="395" t="e">
        <f t="shared" ref="H58:J58" si="30">H23</f>
        <v>#N/A</v>
      </c>
      <c r="I58" s="396" t="e">
        <f t="shared" si="30"/>
        <v>#N/A</v>
      </c>
      <c r="J58" s="395" t="e">
        <f t="shared" si="30"/>
        <v>#N/A</v>
      </c>
      <c r="K58" s="396" t="e">
        <f t="shared" si="7"/>
        <v>#N/A</v>
      </c>
    </row>
    <row r="59" spans="1:11" x14ac:dyDescent="0.2">
      <c r="A59" s="395">
        <v>1</v>
      </c>
      <c r="B59" s="395">
        <v>2</v>
      </c>
      <c r="C59" s="9" t="str">
        <f>IF('Ballot Entry'!M25&lt;&gt;9999,'Ballot Entry'!M25, "")</f>
        <v/>
      </c>
      <c r="D59" s="9" t="str">
        <f>IF('Ballot Entry'!N25&lt;&gt;9999,'Ballot Entry'!N25, "")</f>
        <v/>
      </c>
      <c r="E59" s="9" t="str">
        <f>IF('Ballot Entry'!$M25&lt;&gt;9999,'Ballot Entry'!P25,"")</f>
        <v/>
      </c>
      <c r="F59" s="9" t="e">
        <f t="shared" si="27"/>
        <v>#N/A</v>
      </c>
      <c r="G59" s="9" t="e">
        <f t="shared" si="28"/>
        <v>#VALUE!</v>
      </c>
      <c r="H59" s="395" t="e">
        <f t="shared" ref="H59:J59" si="31">H24</f>
        <v>#N/A</v>
      </c>
      <c r="I59" s="396" t="e">
        <f t="shared" si="31"/>
        <v>#N/A</v>
      </c>
      <c r="J59" s="395" t="e">
        <f t="shared" si="31"/>
        <v>#N/A</v>
      </c>
      <c r="K59" s="396" t="e">
        <f t="shared" si="7"/>
        <v>#N/A</v>
      </c>
    </row>
    <row r="60" spans="1:11" x14ac:dyDescent="0.2">
      <c r="A60" s="395">
        <v>1</v>
      </c>
      <c r="B60" s="395">
        <v>2</v>
      </c>
      <c r="C60" s="9" t="str">
        <f>IF('Ballot Entry'!M26&lt;&gt;9999,'Ballot Entry'!M26, "")</f>
        <v/>
      </c>
      <c r="D60" s="9" t="str">
        <f>IF('Ballot Entry'!N26&lt;&gt;9999,'Ballot Entry'!N26, "")</f>
        <v/>
      </c>
      <c r="E60" s="9" t="str">
        <f>IF('Ballot Entry'!$M26&lt;&gt;9999,'Ballot Entry'!P26,"")</f>
        <v/>
      </c>
      <c r="F60" s="9" t="e">
        <f t="shared" si="27"/>
        <v>#N/A</v>
      </c>
      <c r="G60" s="9" t="e">
        <f t="shared" si="28"/>
        <v>#VALUE!</v>
      </c>
      <c r="H60" s="395" t="e">
        <f t="shared" ref="H60:J60" si="32">H25</f>
        <v>#N/A</v>
      </c>
      <c r="I60" s="396" t="e">
        <f t="shared" si="32"/>
        <v>#N/A</v>
      </c>
      <c r="J60" s="395" t="e">
        <f t="shared" si="32"/>
        <v>#N/A</v>
      </c>
      <c r="K60" s="396" t="e">
        <f t="shared" si="7"/>
        <v>#N/A</v>
      </c>
    </row>
    <row r="61" spans="1:11" x14ac:dyDescent="0.2">
      <c r="A61" s="395">
        <v>1</v>
      </c>
      <c r="B61" s="395">
        <v>2</v>
      </c>
      <c r="C61" s="9" t="str">
        <f>IF('Ballot Entry'!M27&lt;&gt;9999,'Ballot Entry'!M27, "")</f>
        <v/>
      </c>
      <c r="D61" s="9" t="str">
        <f>IF('Ballot Entry'!N27&lt;&gt;9999,'Ballot Entry'!N27, "")</f>
        <v/>
      </c>
      <c r="E61" s="9" t="str">
        <f>IF('Ballot Entry'!$M27&lt;&gt;9999,'Ballot Entry'!P27,"")</f>
        <v/>
      </c>
      <c r="F61" s="9" t="e">
        <f t="shared" si="27"/>
        <v>#N/A</v>
      </c>
      <c r="G61" s="9" t="e">
        <f t="shared" si="28"/>
        <v>#VALUE!</v>
      </c>
      <c r="H61" s="395" t="e">
        <f t="shared" ref="H61:J61" si="33">H26</f>
        <v>#N/A</v>
      </c>
      <c r="I61" s="396" t="e">
        <f t="shared" si="33"/>
        <v>#N/A</v>
      </c>
      <c r="J61" s="395" t="e">
        <f t="shared" si="33"/>
        <v>#N/A</v>
      </c>
      <c r="K61" s="396" t="e">
        <f t="shared" si="7"/>
        <v>#N/A</v>
      </c>
    </row>
    <row r="62" spans="1:11" x14ac:dyDescent="0.2">
      <c r="A62" s="395">
        <v>1</v>
      </c>
      <c r="B62" s="395">
        <v>2</v>
      </c>
      <c r="C62" s="9" t="str">
        <f>IF('Ballot Entry'!M28&lt;&gt;9999,'Ballot Entry'!M28, "")</f>
        <v/>
      </c>
      <c r="D62" s="9" t="str">
        <f>IF('Ballot Entry'!N28&lt;&gt;9999,'Ballot Entry'!N28, "")</f>
        <v/>
      </c>
      <c r="E62" s="9" t="str">
        <f>IF('Ballot Entry'!$M28&lt;&gt;9999,'Ballot Entry'!P28,"")</f>
        <v/>
      </c>
      <c r="F62" s="9" t="e">
        <f t="shared" si="27"/>
        <v>#N/A</v>
      </c>
      <c r="G62" s="9" t="e">
        <f t="shared" si="28"/>
        <v>#VALUE!</v>
      </c>
      <c r="H62" s="395" t="e">
        <f t="shared" ref="H62:J62" si="34">H27</f>
        <v>#N/A</v>
      </c>
      <c r="I62" s="396" t="e">
        <f t="shared" si="34"/>
        <v>#N/A</v>
      </c>
      <c r="J62" s="395" t="e">
        <f t="shared" si="34"/>
        <v>#N/A</v>
      </c>
      <c r="K62" s="396" t="e">
        <f t="shared" si="7"/>
        <v>#N/A</v>
      </c>
    </row>
    <row r="63" spans="1:11" x14ac:dyDescent="0.2">
      <c r="A63" s="395">
        <v>1</v>
      </c>
      <c r="B63" s="395">
        <v>2</v>
      </c>
      <c r="C63" s="9" t="str">
        <f>IF('Ballot Entry'!M29&lt;&gt;9999,'Ballot Entry'!M29, "")</f>
        <v/>
      </c>
      <c r="D63" s="9" t="str">
        <f>IF('Ballot Entry'!N29&lt;&gt;9999,'Ballot Entry'!N29, "")</f>
        <v/>
      </c>
      <c r="E63" s="9" t="str">
        <f>IF('Ballot Entry'!$M29&lt;&gt;9999,'Ballot Entry'!P29,"")</f>
        <v/>
      </c>
      <c r="F63" s="9" t="e">
        <f t="shared" si="27"/>
        <v>#N/A</v>
      </c>
      <c r="G63" s="9" t="e">
        <f t="shared" si="28"/>
        <v>#VALUE!</v>
      </c>
      <c r="H63" s="395" t="e">
        <f t="shared" ref="H63:J63" si="35">H28</f>
        <v>#N/A</v>
      </c>
      <c r="I63" s="396" t="e">
        <f t="shared" si="35"/>
        <v>#N/A</v>
      </c>
      <c r="J63" s="395" t="e">
        <f t="shared" si="35"/>
        <v>#N/A</v>
      </c>
      <c r="K63" s="396" t="e">
        <f t="shared" si="7"/>
        <v>#N/A</v>
      </c>
    </row>
    <row r="64" spans="1:11" x14ac:dyDescent="0.2">
      <c r="A64" s="395">
        <v>1</v>
      </c>
      <c r="B64" s="395">
        <v>2</v>
      </c>
      <c r="C64" s="9" t="str">
        <f>IF('Ballot Entry'!M30&lt;&gt;9999,'Ballot Entry'!M30, "")</f>
        <v/>
      </c>
      <c r="D64" s="9" t="str">
        <f>IF('Ballot Entry'!N30&lt;&gt;9999,'Ballot Entry'!N30, "")</f>
        <v/>
      </c>
      <c r="E64" s="9" t="str">
        <f>IF('Ballot Entry'!$M30&lt;&gt;9999,'Ballot Entry'!P30,"")</f>
        <v/>
      </c>
      <c r="F64" s="9" t="e">
        <f t="shared" si="27"/>
        <v>#N/A</v>
      </c>
      <c r="G64" s="9" t="e">
        <f t="shared" si="28"/>
        <v>#VALUE!</v>
      </c>
      <c r="H64" s="395" t="e">
        <f t="shared" ref="H64:J64" si="36">H29</f>
        <v>#N/A</v>
      </c>
      <c r="I64" s="396" t="e">
        <f t="shared" si="36"/>
        <v>#N/A</v>
      </c>
      <c r="J64" s="395" t="e">
        <f t="shared" si="36"/>
        <v>#N/A</v>
      </c>
      <c r="K64" s="396" t="e">
        <f t="shared" si="7"/>
        <v>#N/A</v>
      </c>
    </row>
    <row r="65" spans="1:11" x14ac:dyDescent="0.2">
      <c r="A65" s="395">
        <v>1</v>
      </c>
      <c r="B65" s="395">
        <v>2</v>
      </c>
      <c r="C65" s="9" t="str">
        <f>IF('Ballot Entry'!M31&lt;&gt;9999,'Ballot Entry'!M31, "")</f>
        <v/>
      </c>
      <c r="D65" s="9" t="str">
        <f>IF('Ballot Entry'!N31&lt;&gt;9999,'Ballot Entry'!N31, "")</f>
        <v/>
      </c>
      <c r="E65" s="9" t="str">
        <f>IF('Ballot Entry'!$M31&lt;&gt;9999,'Ballot Entry'!P31,"")</f>
        <v/>
      </c>
      <c r="F65" s="9" t="e">
        <f t="shared" si="27"/>
        <v>#N/A</v>
      </c>
      <c r="G65" s="9" t="e">
        <f t="shared" si="28"/>
        <v>#VALUE!</v>
      </c>
      <c r="H65" s="395" t="e">
        <f t="shared" ref="H65:J65" si="37">H30</f>
        <v>#N/A</v>
      </c>
      <c r="I65" s="396" t="e">
        <f t="shared" si="37"/>
        <v>#N/A</v>
      </c>
      <c r="J65" s="395" t="e">
        <f t="shared" si="37"/>
        <v>#N/A</v>
      </c>
      <c r="K65" s="396" t="e">
        <f t="shared" si="7"/>
        <v>#N/A</v>
      </c>
    </row>
    <row r="66" spans="1:11" x14ac:dyDescent="0.2">
      <c r="A66" s="395">
        <v>1</v>
      </c>
      <c r="B66" s="395">
        <v>2</v>
      </c>
      <c r="C66" s="9" t="str">
        <f>IF('Ballot Entry'!M32&lt;&gt;9999,'Ballot Entry'!M32, "")</f>
        <v/>
      </c>
      <c r="D66" s="9" t="str">
        <f>IF('Ballot Entry'!N32&lt;&gt;9999,'Ballot Entry'!N32, "")</f>
        <v/>
      </c>
      <c r="E66" s="9" t="str">
        <f>IF('Ballot Entry'!$M32&lt;&gt;9999,'Ballot Entry'!P32,"")</f>
        <v/>
      </c>
      <c r="F66" s="9" t="e">
        <f t="shared" si="27"/>
        <v>#N/A</v>
      </c>
      <c r="G66" s="9" t="e">
        <f t="shared" si="28"/>
        <v>#VALUE!</v>
      </c>
      <c r="H66" s="395" t="e">
        <f t="shared" ref="H66:J66" si="38">H31</f>
        <v>#N/A</v>
      </c>
      <c r="I66" s="396" t="e">
        <f t="shared" si="38"/>
        <v>#N/A</v>
      </c>
      <c r="J66" s="395" t="e">
        <f t="shared" si="38"/>
        <v>#N/A</v>
      </c>
      <c r="K66" s="396" t="e">
        <f t="shared" ref="K66:K97" si="39">VLOOKUP(J66,DComb,2,FALSE )</f>
        <v>#N/A</v>
      </c>
    </row>
    <row r="67" spans="1:11" x14ac:dyDescent="0.2">
      <c r="A67" s="395">
        <v>1</v>
      </c>
      <c r="B67" s="395">
        <v>2</v>
      </c>
      <c r="C67" s="9" t="str">
        <f>IF('Ballot Entry'!M33&lt;&gt;9999,'Ballot Entry'!M33, "")</f>
        <v/>
      </c>
      <c r="D67" s="9" t="str">
        <f>IF('Ballot Entry'!N33&lt;&gt;9999,'Ballot Entry'!N33, "")</f>
        <v/>
      </c>
      <c r="E67" s="9" t="str">
        <f>IF('Ballot Entry'!$M33&lt;&gt;9999,'Ballot Entry'!P33,"")</f>
        <v/>
      </c>
      <c r="F67" s="9" t="e">
        <f t="shared" si="27"/>
        <v>#N/A</v>
      </c>
      <c r="G67" s="9" t="e">
        <f t="shared" si="28"/>
        <v>#VALUE!</v>
      </c>
      <c r="H67" s="395" t="e">
        <f t="shared" ref="H67:J67" si="40">H32</f>
        <v>#N/A</v>
      </c>
      <c r="I67" s="396" t="e">
        <f t="shared" si="40"/>
        <v>#N/A</v>
      </c>
      <c r="J67" s="395" t="e">
        <f t="shared" si="40"/>
        <v>#N/A</v>
      </c>
      <c r="K67" s="396" t="e">
        <f t="shared" si="39"/>
        <v>#N/A</v>
      </c>
    </row>
    <row r="68" spans="1:11" x14ac:dyDescent="0.2">
      <c r="A68" s="395">
        <v>1</v>
      </c>
      <c r="B68" s="395">
        <v>2</v>
      </c>
      <c r="C68" s="9" t="str">
        <f>IF('Ballot Entry'!M34&lt;&gt;9999,'Ballot Entry'!M34, "")</f>
        <v/>
      </c>
      <c r="D68" s="9" t="str">
        <f>IF('Ballot Entry'!N34&lt;&gt;9999,'Ballot Entry'!N34, "")</f>
        <v/>
      </c>
      <c r="E68" s="9" t="str">
        <f>IF('Ballot Entry'!$M34&lt;&gt;9999,'Ballot Entry'!P34,"")</f>
        <v/>
      </c>
      <c r="F68" s="9" t="e">
        <f t="shared" si="27"/>
        <v>#N/A</v>
      </c>
      <c r="G68" s="9" t="e">
        <f t="shared" si="28"/>
        <v>#VALUE!</v>
      </c>
      <c r="H68" s="395" t="e">
        <f t="shared" ref="H68:J68" si="41">H33</f>
        <v>#N/A</v>
      </c>
      <c r="I68" s="396" t="e">
        <f t="shared" si="41"/>
        <v>#N/A</v>
      </c>
      <c r="J68" s="395" t="e">
        <f t="shared" si="41"/>
        <v>#N/A</v>
      </c>
      <c r="K68" s="396" t="e">
        <f t="shared" si="39"/>
        <v>#N/A</v>
      </c>
    </row>
    <row r="69" spans="1:11" x14ac:dyDescent="0.2">
      <c r="A69" s="395">
        <v>1</v>
      </c>
      <c r="B69" s="395">
        <v>2</v>
      </c>
      <c r="C69" s="9" t="str">
        <f>IF('Ballot Entry'!M35&lt;&gt;9999,'Ballot Entry'!M35, "")</f>
        <v/>
      </c>
      <c r="D69" s="9" t="str">
        <f>IF('Ballot Entry'!N35&lt;&gt;9999,'Ballot Entry'!N35, "")</f>
        <v/>
      </c>
      <c r="E69" s="9" t="str">
        <f>IF('Ballot Entry'!$M35&lt;&gt;9999,'Ballot Entry'!P35,"")</f>
        <v/>
      </c>
      <c r="F69" s="9" t="e">
        <f t="shared" si="27"/>
        <v>#N/A</v>
      </c>
      <c r="G69" s="9" t="e">
        <f t="shared" si="28"/>
        <v>#VALUE!</v>
      </c>
      <c r="H69" s="395" t="e">
        <f t="shared" ref="H69:J69" si="42">H34</f>
        <v>#N/A</v>
      </c>
      <c r="I69" s="396" t="e">
        <f t="shared" si="42"/>
        <v>#N/A</v>
      </c>
      <c r="J69" s="395" t="e">
        <f t="shared" si="42"/>
        <v>#N/A</v>
      </c>
      <c r="K69" s="396" t="e">
        <f t="shared" si="39"/>
        <v>#N/A</v>
      </c>
    </row>
    <row r="70" spans="1:11" x14ac:dyDescent="0.2">
      <c r="A70" s="395">
        <v>1</v>
      </c>
      <c r="B70" s="395">
        <v>2</v>
      </c>
      <c r="C70" s="9" t="str">
        <f>IF('Ballot Entry'!M36&lt;&gt;9999,'Ballot Entry'!M36, "")</f>
        <v/>
      </c>
      <c r="D70" s="9" t="str">
        <f>IF('Ballot Entry'!N36&lt;&gt;9999,'Ballot Entry'!N36, "")</f>
        <v/>
      </c>
      <c r="E70" s="9" t="str">
        <f>IF('Ballot Entry'!$M36&lt;&gt;9999,'Ballot Entry'!P36,"")</f>
        <v/>
      </c>
      <c r="F70" s="9" t="e">
        <f t="shared" si="27"/>
        <v>#N/A</v>
      </c>
      <c r="G70" s="9" t="e">
        <f t="shared" si="28"/>
        <v>#VALUE!</v>
      </c>
      <c r="H70" s="395" t="e">
        <f t="shared" ref="H70:J70" si="43">H35</f>
        <v>#N/A</v>
      </c>
      <c r="I70" s="396" t="e">
        <f t="shared" si="43"/>
        <v>#N/A</v>
      </c>
      <c r="J70" s="395" t="e">
        <f t="shared" si="43"/>
        <v>#N/A</v>
      </c>
      <c r="K70" s="396" t="e">
        <f t="shared" si="39"/>
        <v>#N/A</v>
      </c>
    </row>
    <row r="71" spans="1:11" x14ac:dyDescent="0.2">
      <c r="A71" s="395">
        <v>1</v>
      </c>
      <c r="B71" s="395">
        <v>2</v>
      </c>
      <c r="C71" s="9" t="str">
        <f>IF('Ballot Entry'!M37&lt;&gt;9999,'Ballot Entry'!M37, "")</f>
        <v/>
      </c>
      <c r="D71" s="9" t="str">
        <f>IF('Ballot Entry'!N37&lt;&gt;9999,'Ballot Entry'!N37, "")</f>
        <v/>
      </c>
      <c r="E71" s="9" t="str">
        <f>IF('Ballot Entry'!$M37&lt;&gt;9999,'Ballot Entry'!P37,"")</f>
        <v/>
      </c>
      <c r="F71" s="9" t="e">
        <f t="shared" si="27"/>
        <v>#N/A</v>
      </c>
      <c r="G71" s="9" t="e">
        <f t="shared" si="28"/>
        <v>#VALUE!</v>
      </c>
      <c r="H71" s="395" t="e">
        <f t="shared" ref="H71:J71" si="44">H36</f>
        <v>#N/A</v>
      </c>
      <c r="I71" s="396" t="e">
        <f t="shared" si="44"/>
        <v>#N/A</v>
      </c>
      <c r="J71" s="395" t="e">
        <f t="shared" si="44"/>
        <v>#N/A</v>
      </c>
      <c r="K71" s="396" t="e">
        <f t="shared" si="39"/>
        <v>#N/A</v>
      </c>
    </row>
    <row r="72" spans="1:11" x14ac:dyDescent="0.2">
      <c r="A72" s="395">
        <v>1</v>
      </c>
      <c r="B72" s="395">
        <v>3</v>
      </c>
      <c r="C72" s="9">
        <f>IF('Ballot Entry'!M3&lt;&gt;9999,'Ballot Entry'!M3, "")</f>
        <v>1029</v>
      </c>
      <c r="D72" s="9">
        <f>IF('Ballot Entry'!N3&lt;&gt;9999,'Ballot Entry'!N3, "")</f>
        <v>1001</v>
      </c>
      <c r="E72" s="9">
        <f>IF('Ballot Entry'!$M3&lt;&gt;9999,'Ballot Entry'!Q3,"")</f>
        <v>0</v>
      </c>
      <c r="F72" s="9" t="str">
        <f t="shared" si="4"/>
        <v>T</v>
      </c>
      <c r="G72" s="9">
        <f t="shared" si="3"/>
        <v>0</v>
      </c>
      <c r="H72" s="395" t="e">
        <f t="shared" ref="H72:J72" si="45">H37</f>
        <v>#N/A</v>
      </c>
      <c r="I72" s="396" t="e">
        <f t="shared" si="45"/>
        <v>#N/A</v>
      </c>
      <c r="J72" s="395" t="e">
        <f t="shared" si="45"/>
        <v>#N/A</v>
      </c>
      <c r="K72" s="396" t="e">
        <f t="shared" si="39"/>
        <v>#N/A</v>
      </c>
    </row>
    <row r="73" spans="1:11" x14ac:dyDescent="0.2">
      <c r="A73" s="395">
        <v>1</v>
      </c>
      <c r="B73" s="395">
        <v>3</v>
      </c>
      <c r="C73" s="9">
        <f>IF('Ballot Entry'!M4&lt;&gt;9999,'Ballot Entry'!M4, "")</f>
        <v>1268</v>
      </c>
      <c r="D73" s="9">
        <f>IF('Ballot Entry'!N4&lt;&gt;9999,'Ballot Entry'!N4, "")</f>
        <v>1078</v>
      </c>
      <c r="E73" s="9">
        <f>IF('Ballot Entry'!$M4&lt;&gt;9999,'Ballot Entry'!Q4,"")</f>
        <v>0</v>
      </c>
      <c r="F73" s="9" t="str">
        <f t="shared" si="4"/>
        <v>T</v>
      </c>
      <c r="G73" s="9">
        <f t="shared" si="3"/>
        <v>0</v>
      </c>
      <c r="H73" s="395" t="e">
        <f t="shared" ref="H73:J73" si="46">H38</f>
        <v>#N/A</v>
      </c>
      <c r="I73" s="396" t="e">
        <f t="shared" si="46"/>
        <v>#N/A</v>
      </c>
      <c r="J73" s="395" t="e">
        <f t="shared" si="46"/>
        <v>#N/A</v>
      </c>
      <c r="K73" s="396" t="e">
        <f t="shared" si="39"/>
        <v>#N/A</v>
      </c>
    </row>
    <row r="74" spans="1:11" x14ac:dyDescent="0.2">
      <c r="A74" s="395">
        <v>1</v>
      </c>
      <c r="B74" s="395">
        <v>3</v>
      </c>
      <c r="C74" s="9">
        <f>IF('Ballot Entry'!M5&lt;&gt;9999,'Ballot Entry'!M5, "")</f>
        <v>1506</v>
      </c>
      <c r="D74" s="9">
        <f>IF('Ballot Entry'!N5&lt;&gt;9999,'Ballot Entry'!N5, "")</f>
        <v>1224</v>
      </c>
      <c r="E74" s="9">
        <f>IF('Ballot Entry'!$M5&lt;&gt;9999,'Ballot Entry'!Q5,"")</f>
        <v>0</v>
      </c>
      <c r="F74" s="9" t="str">
        <f t="shared" si="4"/>
        <v>T</v>
      </c>
      <c r="G74" s="9">
        <f t="shared" si="3"/>
        <v>0</v>
      </c>
      <c r="H74" s="395" t="e">
        <f t="shared" ref="H74:J74" si="47">H39</f>
        <v>#N/A</v>
      </c>
      <c r="I74" s="396" t="e">
        <f t="shared" si="47"/>
        <v>#N/A</v>
      </c>
      <c r="J74" s="395" t="e">
        <f t="shared" si="47"/>
        <v>#N/A</v>
      </c>
      <c r="K74" s="396" t="e">
        <f t="shared" si="39"/>
        <v>#N/A</v>
      </c>
    </row>
    <row r="75" spans="1:11" x14ac:dyDescent="0.2">
      <c r="A75" s="395">
        <v>1</v>
      </c>
      <c r="B75" s="395">
        <v>3</v>
      </c>
      <c r="C75" s="9">
        <f>IF('Ballot Entry'!M6&lt;&gt;9999,'Ballot Entry'!M6, "")</f>
        <v>1410</v>
      </c>
      <c r="D75" s="9">
        <f>IF('Ballot Entry'!N6&lt;&gt;9999,'Ballot Entry'!N6, "")</f>
        <v>1616</v>
      </c>
      <c r="E75" s="9">
        <f>IF('Ballot Entry'!$M6&lt;&gt;9999,'Ballot Entry'!Q6,"")</f>
        <v>0</v>
      </c>
      <c r="F75" s="9" t="str">
        <f t="shared" si="4"/>
        <v>T</v>
      </c>
      <c r="G75" s="9">
        <f t="shared" si="3"/>
        <v>0</v>
      </c>
      <c r="H75" s="395" t="e">
        <f t="shared" ref="H75:J75" si="48">H40</f>
        <v>#N/A</v>
      </c>
      <c r="I75" s="396" t="e">
        <f t="shared" si="48"/>
        <v>#N/A</v>
      </c>
      <c r="J75" s="395" t="e">
        <f t="shared" si="48"/>
        <v>#N/A</v>
      </c>
      <c r="K75" s="396" t="e">
        <f t="shared" si="39"/>
        <v>#N/A</v>
      </c>
    </row>
    <row r="76" spans="1:11" x14ac:dyDescent="0.2">
      <c r="A76" s="395">
        <v>1</v>
      </c>
      <c r="B76" s="395">
        <v>3</v>
      </c>
      <c r="C76" s="9">
        <f>IF('Ballot Entry'!M7&lt;&gt;9999,'Ballot Entry'!M7, "")</f>
        <v>1557</v>
      </c>
      <c r="D76" s="9">
        <f>IF('Ballot Entry'!N7&lt;&gt;9999,'Ballot Entry'!N7, "")</f>
        <v>1517</v>
      </c>
      <c r="E76" s="9">
        <f>IF('Ballot Entry'!$M7&lt;&gt;9999,'Ballot Entry'!Q7,"")</f>
        <v>0</v>
      </c>
      <c r="F76" s="9" t="str">
        <f t="shared" si="4"/>
        <v>T</v>
      </c>
      <c r="G76" s="9">
        <f t="shared" si="3"/>
        <v>0</v>
      </c>
      <c r="H76" s="395" t="e">
        <f t="shared" ref="H76:J76" si="49">H41</f>
        <v>#N/A</v>
      </c>
      <c r="I76" s="396" t="e">
        <f t="shared" si="49"/>
        <v>#N/A</v>
      </c>
      <c r="J76" s="395" t="e">
        <f t="shared" si="49"/>
        <v>#N/A</v>
      </c>
      <c r="K76" s="396" t="e">
        <f t="shared" si="39"/>
        <v>#N/A</v>
      </c>
    </row>
    <row r="77" spans="1:11" x14ac:dyDescent="0.2">
      <c r="A77" s="395">
        <v>1</v>
      </c>
      <c r="B77" s="395">
        <v>3</v>
      </c>
      <c r="C77" s="9">
        <f>IF('Ballot Entry'!M8&lt;&gt;9999,'Ballot Entry'!M8, "")</f>
        <v>1262</v>
      </c>
      <c r="D77" s="9">
        <f>IF('Ballot Entry'!N8&lt;&gt;9999,'Ballot Entry'!N8, "")</f>
        <v>1693</v>
      </c>
      <c r="E77" s="9">
        <f>IF('Ballot Entry'!$M8&lt;&gt;9999,'Ballot Entry'!Q8,"")</f>
        <v>0</v>
      </c>
      <c r="F77" s="9" t="str">
        <f t="shared" si="4"/>
        <v>T</v>
      </c>
      <c r="G77" s="9">
        <f t="shared" si="3"/>
        <v>0</v>
      </c>
      <c r="H77" s="395" t="e">
        <f t="shared" ref="H77:J77" si="50">H42</f>
        <v>#N/A</v>
      </c>
      <c r="I77" s="396" t="e">
        <f t="shared" si="50"/>
        <v>#N/A</v>
      </c>
      <c r="J77" s="395" t="e">
        <f t="shared" si="50"/>
        <v>#N/A</v>
      </c>
      <c r="K77" s="396" t="e">
        <f t="shared" si="39"/>
        <v>#N/A</v>
      </c>
    </row>
    <row r="78" spans="1:11" x14ac:dyDescent="0.2">
      <c r="A78" s="395">
        <v>1</v>
      </c>
      <c r="B78" s="395">
        <v>3</v>
      </c>
      <c r="C78" s="9">
        <f>IF('Ballot Entry'!M9&lt;&gt;9999,'Ballot Entry'!M9, "")</f>
        <v>1258</v>
      </c>
      <c r="D78" s="9">
        <f>IF('Ballot Entry'!N9&lt;&gt;9999,'Ballot Entry'!N9, "")</f>
        <v>1217</v>
      </c>
      <c r="E78" s="9">
        <f>IF('Ballot Entry'!$M9&lt;&gt;9999,'Ballot Entry'!Q9,"")</f>
        <v>0</v>
      </c>
      <c r="F78" s="9" t="str">
        <f t="shared" si="4"/>
        <v>T</v>
      </c>
      <c r="G78" s="9">
        <f t="shared" si="3"/>
        <v>0</v>
      </c>
      <c r="H78" s="395" t="e">
        <f t="shared" ref="H78:J78" si="51">H43</f>
        <v>#N/A</v>
      </c>
      <c r="I78" s="396" t="e">
        <f t="shared" si="51"/>
        <v>#N/A</v>
      </c>
      <c r="J78" s="395" t="e">
        <f t="shared" si="51"/>
        <v>#N/A</v>
      </c>
      <c r="K78" s="396" t="e">
        <f t="shared" si="39"/>
        <v>#N/A</v>
      </c>
    </row>
    <row r="79" spans="1:11" x14ac:dyDescent="0.2">
      <c r="A79" s="395">
        <v>1</v>
      </c>
      <c r="B79" s="395">
        <v>3</v>
      </c>
      <c r="C79" s="9">
        <f>IF('Ballot Entry'!M10&lt;&gt;9999,'Ballot Entry'!M10, "")</f>
        <v>1489</v>
      </c>
      <c r="D79" s="9">
        <f>IF('Ballot Entry'!N10&lt;&gt;9999,'Ballot Entry'!N10, "")</f>
        <v>1051</v>
      </c>
      <c r="E79" s="9">
        <f>IF('Ballot Entry'!$M10&lt;&gt;9999,'Ballot Entry'!Q10,"")</f>
        <v>0</v>
      </c>
      <c r="F79" s="9" t="str">
        <f t="shared" si="4"/>
        <v>T</v>
      </c>
      <c r="G79" s="9">
        <f t="shared" si="3"/>
        <v>0</v>
      </c>
      <c r="H79" s="395" t="e">
        <f t="shared" ref="H79:J79" si="52">H44</f>
        <v>#N/A</v>
      </c>
      <c r="I79" s="396" t="e">
        <f t="shared" si="52"/>
        <v>#N/A</v>
      </c>
      <c r="J79" s="395" t="e">
        <f t="shared" si="52"/>
        <v>#N/A</v>
      </c>
      <c r="K79" s="396" t="e">
        <f t="shared" si="39"/>
        <v>#N/A</v>
      </c>
    </row>
    <row r="80" spans="1:11" x14ac:dyDescent="0.2">
      <c r="A80" s="395">
        <v>1</v>
      </c>
      <c r="B80" s="395">
        <v>3</v>
      </c>
      <c r="C80" s="9">
        <f>IF('Ballot Entry'!M11&lt;&gt;9999,'Ballot Entry'!M11, "")</f>
        <v>1577</v>
      </c>
      <c r="D80" s="9">
        <f>IF('Ballot Entry'!N11&lt;&gt;9999,'Ballot Entry'!N11, "")</f>
        <v>1492</v>
      </c>
      <c r="E80" s="9">
        <f>IF('Ballot Entry'!$M11&lt;&gt;9999,'Ballot Entry'!Q11,"")</f>
        <v>0</v>
      </c>
      <c r="F80" s="9" t="str">
        <f t="shared" si="4"/>
        <v>T</v>
      </c>
      <c r="G80" s="9">
        <f t="shared" si="3"/>
        <v>0</v>
      </c>
      <c r="H80" s="395" t="e">
        <f t="shared" ref="H80:J80" si="53">H45</f>
        <v>#N/A</v>
      </c>
      <c r="I80" s="396" t="e">
        <f t="shared" si="53"/>
        <v>#N/A</v>
      </c>
      <c r="J80" s="395" t="e">
        <f t="shared" si="53"/>
        <v>#N/A</v>
      </c>
      <c r="K80" s="396" t="e">
        <f t="shared" si="39"/>
        <v>#N/A</v>
      </c>
    </row>
    <row r="81" spans="1:11" x14ac:dyDescent="0.2">
      <c r="A81" s="395">
        <v>1</v>
      </c>
      <c r="B81" s="395">
        <v>3</v>
      </c>
      <c r="C81" s="9" t="str">
        <f>IF('Ballot Entry'!M12&lt;&gt;9999,'Ballot Entry'!M12, "")</f>
        <v/>
      </c>
      <c r="D81" s="9" t="str">
        <f>IF('Ballot Entry'!N12&lt;&gt;9999,'Ballot Entry'!N12, "")</f>
        <v/>
      </c>
      <c r="E81" s="9" t="str">
        <f>IF('Ballot Entry'!$M12&lt;&gt;9999,'Ballot Entry'!Q12,"")</f>
        <v/>
      </c>
      <c r="F81" s="9" t="e">
        <f t="shared" si="4"/>
        <v>#N/A</v>
      </c>
      <c r="G81" s="9" t="e">
        <f t="shared" si="3"/>
        <v>#VALUE!</v>
      </c>
      <c r="H81" s="395" t="e">
        <f t="shared" ref="H81:J81" si="54">H46</f>
        <v>#N/A</v>
      </c>
      <c r="I81" s="396" t="e">
        <f t="shared" si="54"/>
        <v>#N/A</v>
      </c>
      <c r="J81" s="395" t="e">
        <f t="shared" si="54"/>
        <v>#N/A</v>
      </c>
      <c r="K81" s="396" t="e">
        <f t="shared" si="39"/>
        <v>#N/A</v>
      </c>
    </row>
    <row r="82" spans="1:11" x14ac:dyDescent="0.2">
      <c r="A82" s="395">
        <v>1</v>
      </c>
      <c r="B82" s="395">
        <v>3</v>
      </c>
      <c r="C82" s="9" t="str">
        <f>IF('Ballot Entry'!M13&lt;&gt;9999,'Ballot Entry'!M13, "")</f>
        <v/>
      </c>
      <c r="D82" s="9" t="str">
        <f>IF('Ballot Entry'!N13&lt;&gt;9999,'Ballot Entry'!N13, "")</f>
        <v/>
      </c>
      <c r="E82" s="9" t="str">
        <f>IF('Ballot Entry'!$M13&lt;&gt;9999,'Ballot Entry'!Q13,"")</f>
        <v/>
      </c>
      <c r="F82" s="9" t="e">
        <f t="shared" si="4"/>
        <v>#N/A</v>
      </c>
      <c r="G82" s="9" t="e">
        <f t="shared" si="3"/>
        <v>#VALUE!</v>
      </c>
      <c r="H82" s="395" t="e">
        <f t="shared" ref="H82:J82" si="55">H47</f>
        <v>#N/A</v>
      </c>
      <c r="I82" s="396" t="e">
        <f t="shared" si="55"/>
        <v>#N/A</v>
      </c>
      <c r="J82" s="395" t="e">
        <f t="shared" si="55"/>
        <v>#N/A</v>
      </c>
      <c r="K82" s="396" t="e">
        <f t="shared" si="39"/>
        <v>#N/A</v>
      </c>
    </row>
    <row r="83" spans="1:11" x14ac:dyDescent="0.2">
      <c r="A83" s="395">
        <v>1</v>
      </c>
      <c r="B83" s="395">
        <v>3</v>
      </c>
      <c r="C83" s="9" t="str">
        <f>IF('Ballot Entry'!M14&lt;&gt;9999,'Ballot Entry'!M14, "")</f>
        <v/>
      </c>
      <c r="D83" s="9" t="str">
        <f>IF('Ballot Entry'!N14&lt;&gt;9999,'Ballot Entry'!N14, "")</f>
        <v/>
      </c>
      <c r="E83" s="9" t="str">
        <f>IF('Ballot Entry'!$M14&lt;&gt;9999,'Ballot Entry'!Q14,"")</f>
        <v/>
      </c>
      <c r="F83" s="9" t="e">
        <f t="shared" si="4"/>
        <v>#N/A</v>
      </c>
      <c r="G83" s="9" t="e">
        <f t="shared" si="3"/>
        <v>#VALUE!</v>
      </c>
      <c r="H83" s="395" t="e">
        <f t="shared" ref="H83:J83" si="56">H48</f>
        <v>#N/A</v>
      </c>
      <c r="I83" s="396" t="e">
        <f t="shared" si="56"/>
        <v>#N/A</v>
      </c>
      <c r="J83" s="395" t="e">
        <f t="shared" si="56"/>
        <v>#N/A</v>
      </c>
      <c r="K83" s="396" t="e">
        <f t="shared" si="39"/>
        <v>#N/A</v>
      </c>
    </row>
    <row r="84" spans="1:11" x14ac:dyDescent="0.2">
      <c r="A84" s="395">
        <v>1</v>
      </c>
      <c r="B84" s="395">
        <v>3</v>
      </c>
      <c r="C84" s="9" t="str">
        <f>IF('Ballot Entry'!M15&lt;&gt;9999,'Ballot Entry'!M15, "")</f>
        <v/>
      </c>
      <c r="D84" s="9" t="str">
        <f>IF('Ballot Entry'!N15&lt;&gt;9999,'Ballot Entry'!N15, "")</f>
        <v/>
      </c>
      <c r="E84" s="9" t="str">
        <f>IF('Ballot Entry'!$M15&lt;&gt;9999,'Ballot Entry'!Q15,"")</f>
        <v/>
      </c>
      <c r="F84" s="9" t="e">
        <f t="shared" si="4"/>
        <v>#N/A</v>
      </c>
      <c r="G84" s="9" t="e">
        <f t="shared" si="3"/>
        <v>#VALUE!</v>
      </c>
      <c r="H84" s="395" t="e">
        <f t="shared" ref="H84:J84" si="57">H49</f>
        <v>#N/A</v>
      </c>
      <c r="I84" s="396" t="e">
        <f t="shared" si="57"/>
        <v>#N/A</v>
      </c>
      <c r="J84" s="395" t="e">
        <f t="shared" si="57"/>
        <v>#N/A</v>
      </c>
      <c r="K84" s="396" t="e">
        <f t="shared" si="39"/>
        <v>#N/A</v>
      </c>
    </row>
    <row r="85" spans="1:11" x14ac:dyDescent="0.2">
      <c r="A85" s="395">
        <v>1</v>
      </c>
      <c r="B85" s="395">
        <v>3</v>
      </c>
      <c r="C85" s="9" t="str">
        <f>IF('Ballot Entry'!M16&lt;&gt;9999,'Ballot Entry'!M16, "")</f>
        <v/>
      </c>
      <c r="D85" s="9" t="str">
        <f>IF('Ballot Entry'!N16&lt;&gt;9999,'Ballot Entry'!N16, "")</f>
        <v/>
      </c>
      <c r="E85" s="9" t="str">
        <f>IF('Ballot Entry'!$M16&lt;&gt;9999,'Ballot Entry'!Q16,"")</f>
        <v/>
      </c>
      <c r="F85" s="9" t="e">
        <f t="shared" si="4"/>
        <v>#N/A</v>
      </c>
      <c r="G85" s="9" t="e">
        <f t="shared" si="3"/>
        <v>#VALUE!</v>
      </c>
      <c r="H85" s="395" t="e">
        <f t="shared" ref="H85:J85" si="58">H50</f>
        <v>#N/A</v>
      </c>
      <c r="I85" s="396" t="e">
        <f t="shared" si="58"/>
        <v>#N/A</v>
      </c>
      <c r="J85" s="395" t="e">
        <f t="shared" si="58"/>
        <v>#N/A</v>
      </c>
      <c r="K85" s="396" t="e">
        <f t="shared" si="39"/>
        <v>#N/A</v>
      </c>
    </row>
    <row r="86" spans="1:11" x14ac:dyDescent="0.2">
      <c r="A86" s="395">
        <v>1</v>
      </c>
      <c r="B86" s="395">
        <v>3</v>
      </c>
      <c r="C86" s="9" t="str">
        <f>IF('Ballot Entry'!M17&lt;&gt;9999,'Ballot Entry'!M17, "")</f>
        <v/>
      </c>
      <c r="D86" s="9" t="str">
        <f>IF('Ballot Entry'!N17&lt;&gt;9999,'Ballot Entry'!N17, "")</f>
        <v/>
      </c>
      <c r="E86" s="9" t="str">
        <f>IF('Ballot Entry'!$M17&lt;&gt;9999,'Ballot Entry'!Q17,"")</f>
        <v/>
      </c>
      <c r="F86" s="9" t="e">
        <f t="shared" si="4"/>
        <v>#N/A</v>
      </c>
      <c r="G86" s="9" t="e">
        <f t="shared" si="3"/>
        <v>#VALUE!</v>
      </c>
      <c r="H86" s="395" t="e">
        <f t="shared" ref="H86:J86" si="59">H51</f>
        <v>#N/A</v>
      </c>
      <c r="I86" s="396" t="e">
        <f t="shared" si="59"/>
        <v>#N/A</v>
      </c>
      <c r="J86" s="395" t="e">
        <f t="shared" si="59"/>
        <v>#N/A</v>
      </c>
      <c r="K86" s="396" t="e">
        <f t="shared" si="39"/>
        <v>#N/A</v>
      </c>
    </row>
    <row r="87" spans="1:11" x14ac:dyDescent="0.2">
      <c r="A87" s="395">
        <v>1</v>
      </c>
      <c r="B87" s="395">
        <v>3</v>
      </c>
      <c r="C87" s="9" t="str">
        <f>IF('Ballot Entry'!M18&lt;&gt;9999,'Ballot Entry'!M18, "")</f>
        <v/>
      </c>
      <c r="D87" s="9" t="str">
        <f>IF('Ballot Entry'!N18&lt;&gt;9999,'Ballot Entry'!N18, "")</f>
        <v/>
      </c>
      <c r="E87" s="9" t="str">
        <f>IF('Ballot Entry'!$M18&lt;&gt;9999,'Ballot Entry'!Q18,"")</f>
        <v/>
      </c>
      <c r="F87" s="9" t="e">
        <f t="shared" si="4"/>
        <v>#N/A</v>
      </c>
      <c r="G87" s="9" t="e">
        <f t="shared" si="3"/>
        <v>#VALUE!</v>
      </c>
      <c r="H87" s="395" t="e">
        <f t="shared" ref="H87:J87" si="60">H52</f>
        <v>#N/A</v>
      </c>
      <c r="I87" s="396" t="e">
        <f t="shared" si="60"/>
        <v>#N/A</v>
      </c>
      <c r="J87" s="395" t="e">
        <f t="shared" si="60"/>
        <v>#N/A</v>
      </c>
      <c r="K87" s="396" t="e">
        <f t="shared" si="39"/>
        <v>#N/A</v>
      </c>
    </row>
    <row r="88" spans="1:11" x14ac:dyDescent="0.2">
      <c r="A88" s="395">
        <v>1</v>
      </c>
      <c r="B88" s="395">
        <v>3</v>
      </c>
      <c r="C88" s="9" t="str">
        <f>IF('Ballot Entry'!M19&lt;&gt;9999,'Ballot Entry'!M19, "")</f>
        <v/>
      </c>
      <c r="D88" s="9" t="str">
        <f>IF('Ballot Entry'!N19&lt;&gt;9999,'Ballot Entry'!N19, "")</f>
        <v/>
      </c>
      <c r="E88" s="9" t="str">
        <f>IF('Ballot Entry'!$M19&lt;&gt;9999,'Ballot Entry'!Q19,"")</f>
        <v/>
      </c>
      <c r="F88" s="9" t="e">
        <f t="shared" si="4"/>
        <v>#N/A</v>
      </c>
      <c r="G88" s="9" t="e">
        <f t="shared" si="3"/>
        <v>#VALUE!</v>
      </c>
      <c r="H88" s="395" t="e">
        <f t="shared" ref="H88:J88" si="61">H53</f>
        <v>#N/A</v>
      </c>
      <c r="I88" s="396" t="e">
        <f t="shared" si="61"/>
        <v>#N/A</v>
      </c>
      <c r="J88" s="395" t="e">
        <f t="shared" si="61"/>
        <v>#N/A</v>
      </c>
      <c r="K88" s="396" t="e">
        <f t="shared" si="39"/>
        <v>#N/A</v>
      </c>
    </row>
    <row r="89" spans="1:11" x14ac:dyDescent="0.2">
      <c r="A89" s="395">
        <v>1</v>
      </c>
      <c r="B89" s="395">
        <v>3</v>
      </c>
      <c r="C89" s="9" t="str">
        <f>IF('Ballot Entry'!M20&lt;&gt;9999,'Ballot Entry'!M20, "")</f>
        <v/>
      </c>
      <c r="D89" s="9" t="str">
        <f>IF('Ballot Entry'!N20&lt;&gt;9999,'Ballot Entry'!N20, "")</f>
        <v/>
      </c>
      <c r="E89" s="9" t="str">
        <f>IF('Ballot Entry'!$M20&lt;&gt;9999,'Ballot Entry'!Q20,"")</f>
        <v/>
      </c>
      <c r="F89" s="9" t="e">
        <f t="shared" si="4"/>
        <v>#N/A</v>
      </c>
      <c r="G89" s="9" t="e">
        <f t="shared" si="3"/>
        <v>#VALUE!</v>
      </c>
      <c r="H89" s="395" t="e">
        <f t="shared" ref="H89:J89" si="62">H54</f>
        <v>#N/A</v>
      </c>
      <c r="I89" s="396" t="e">
        <f t="shared" si="62"/>
        <v>#N/A</v>
      </c>
      <c r="J89" s="395" t="e">
        <f t="shared" si="62"/>
        <v>#N/A</v>
      </c>
      <c r="K89" s="396" t="e">
        <f t="shared" si="39"/>
        <v>#N/A</v>
      </c>
    </row>
    <row r="90" spans="1:11" x14ac:dyDescent="0.2">
      <c r="A90" s="395">
        <v>1</v>
      </c>
      <c r="B90" s="395">
        <v>3</v>
      </c>
      <c r="C90" s="9" t="str">
        <f>IF('Ballot Entry'!M21&lt;&gt;9999,'Ballot Entry'!M21, "")</f>
        <v/>
      </c>
      <c r="D90" s="9" t="str">
        <f>IF('Ballot Entry'!N21&lt;&gt;9999,'Ballot Entry'!N21, "")</f>
        <v/>
      </c>
      <c r="E90" s="9" t="str">
        <f>IF('Ballot Entry'!$M21&lt;&gt;9999,'Ballot Entry'!Q21,"")</f>
        <v/>
      </c>
      <c r="F90" s="9" t="e">
        <f t="shared" si="4"/>
        <v>#N/A</v>
      </c>
      <c r="G90" s="9" t="e">
        <f t="shared" si="3"/>
        <v>#VALUE!</v>
      </c>
      <c r="H90" s="395" t="e">
        <f t="shared" ref="H90:J90" si="63">H55</f>
        <v>#N/A</v>
      </c>
      <c r="I90" s="396" t="e">
        <f t="shared" si="63"/>
        <v>#N/A</v>
      </c>
      <c r="J90" s="395" t="e">
        <f t="shared" si="63"/>
        <v>#N/A</v>
      </c>
      <c r="K90" s="396" t="e">
        <f t="shared" si="39"/>
        <v>#N/A</v>
      </c>
    </row>
    <row r="91" spans="1:11" x14ac:dyDescent="0.2">
      <c r="A91" s="395">
        <v>1</v>
      </c>
      <c r="B91" s="395">
        <v>3</v>
      </c>
      <c r="C91" s="9" t="str">
        <f>IF('Ballot Entry'!M22&lt;&gt;9999,'Ballot Entry'!M22, "")</f>
        <v/>
      </c>
      <c r="D91" s="9" t="str">
        <f>IF('Ballot Entry'!N22&lt;&gt;9999,'Ballot Entry'!N22, "")</f>
        <v/>
      </c>
      <c r="E91" s="9" t="str">
        <f>IF('Ballot Entry'!$M22&lt;&gt;9999,'Ballot Entry'!Q22,"")</f>
        <v/>
      </c>
      <c r="F91" s="9" t="e">
        <f t="shared" si="4"/>
        <v>#N/A</v>
      </c>
      <c r="G91" s="9" t="e">
        <f t="shared" si="3"/>
        <v>#VALUE!</v>
      </c>
      <c r="H91" s="395" t="e">
        <f t="shared" ref="H91:J91" si="64">H56</f>
        <v>#N/A</v>
      </c>
      <c r="I91" s="396" t="e">
        <f t="shared" si="64"/>
        <v>#N/A</v>
      </c>
      <c r="J91" s="395" t="e">
        <f t="shared" si="64"/>
        <v>#N/A</v>
      </c>
      <c r="K91" s="396" t="e">
        <f t="shared" si="39"/>
        <v>#N/A</v>
      </c>
    </row>
    <row r="92" spans="1:11" x14ac:dyDescent="0.2">
      <c r="A92" s="395">
        <v>1</v>
      </c>
      <c r="B92" s="395">
        <v>3</v>
      </c>
      <c r="C92" s="9" t="str">
        <f>IF('Ballot Entry'!M23&lt;&gt;9999,'Ballot Entry'!M23, "")</f>
        <v/>
      </c>
      <c r="D92" s="9" t="str">
        <f>IF('Ballot Entry'!N23&lt;&gt;9999,'Ballot Entry'!N23, "")</f>
        <v/>
      </c>
      <c r="E92" s="9" t="str">
        <f>IF('Ballot Entry'!$M23&lt;&gt;9999,'Ballot Entry'!Q23,"")</f>
        <v/>
      </c>
      <c r="F92" s="9" t="e">
        <f t="shared" ref="F92:F106" si="65">IF(E92="",NA(),IF(E92&gt;0, "P", IF(E92&lt;0,"D", "T")))</f>
        <v>#N/A</v>
      </c>
      <c r="G92" s="9" t="e">
        <f t="shared" ref="G92:G106" si="66">ABS(E92)</f>
        <v>#VALUE!</v>
      </c>
      <c r="H92" s="395" t="e">
        <f t="shared" ref="H92:J92" si="67">H57</f>
        <v>#N/A</v>
      </c>
      <c r="I92" s="396" t="e">
        <f t="shared" si="67"/>
        <v>#N/A</v>
      </c>
      <c r="J92" s="395" t="e">
        <f t="shared" si="67"/>
        <v>#N/A</v>
      </c>
      <c r="K92" s="396" t="e">
        <f t="shared" si="39"/>
        <v>#N/A</v>
      </c>
    </row>
    <row r="93" spans="1:11" x14ac:dyDescent="0.2">
      <c r="A93" s="395">
        <v>1</v>
      </c>
      <c r="B93" s="395">
        <v>3</v>
      </c>
      <c r="C93" s="9" t="str">
        <f>IF('Ballot Entry'!M24&lt;&gt;9999,'Ballot Entry'!M24, "")</f>
        <v/>
      </c>
      <c r="D93" s="9" t="str">
        <f>IF('Ballot Entry'!N24&lt;&gt;9999,'Ballot Entry'!N24, "")</f>
        <v/>
      </c>
      <c r="E93" s="9" t="str">
        <f>IF('Ballot Entry'!$M24&lt;&gt;9999,'Ballot Entry'!Q24,"")</f>
        <v/>
      </c>
      <c r="F93" s="9" t="e">
        <f t="shared" si="65"/>
        <v>#N/A</v>
      </c>
      <c r="G93" s="9" t="e">
        <f t="shared" si="66"/>
        <v>#VALUE!</v>
      </c>
      <c r="H93" s="395" t="e">
        <f t="shared" ref="H93:J93" si="68">H58</f>
        <v>#N/A</v>
      </c>
      <c r="I93" s="396" t="e">
        <f t="shared" si="68"/>
        <v>#N/A</v>
      </c>
      <c r="J93" s="395" t="e">
        <f t="shared" si="68"/>
        <v>#N/A</v>
      </c>
      <c r="K93" s="396" t="e">
        <f t="shared" si="39"/>
        <v>#N/A</v>
      </c>
    </row>
    <row r="94" spans="1:11" x14ac:dyDescent="0.2">
      <c r="A94" s="395">
        <v>1</v>
      </c>
      <c r="B94" s="395">
        <v>3</v>
      </c>
      <c r="C94" s="9" t="str">
        <f>IF('Ballot Entry'!M25&lt;&gt;9999,'Ballot Entry'!M25, "")</f>
        <v/>
      </c>
      <c r="D94" s="9" t="str">
        <f>IF('Ballot Entry'!N25&lt;&gt;9999,'Ballot Entry'!N25, "")</f>
        <v/>
      </c>
      <c r="E94" s="9" t="str">
        <f>IF('Ballot Entry'!$M25&lt;&gt;9999,'Ballot Entry'!Q25,"")</f>
        <v/>
      </c>
      <c r="F94" s="9" t="e">
        <f t="shared" si="65"/>
        <v>#N/A</v>
      </c>
      <c r="G94" s="9" t="e">
        <f t="shared" si="66"/>
        <v>#VALUE!</v>
      </c>
      <c r="H94" s="395" t="e">
        <f t="shared" ref="H94:J94" si="69">H59</f>
        <v>#N/A</v>
      </c>
      <c r="I94" s="396" t="e">
        <f t="shared" si="69"/>
        <v>#N/A</v>
      </c>
      <c r="J94" s="395" t="e">
        <f t="shared" si="69"/>
        <v>#N/A</v>
      </c>
      <c r="K94" s="396" t="e">
        <f t="shared" si="39"/>
        <v>#N/A</v>
      </c>
    </row>
    <row r="95" spans="1:11" x14ac:dyDescent="0.2">
      <c r="A95" s="395">
        <v>1</v>
      </c>
      <c r="B95" s="395">
        <v>3</v>
      </c>
      <c r="C95" s="9" t="str">
        <f>IF('Ballot Entry'!M26&lt;&gt;9999,'Ballot Entry'!M26, "")</f>
        <v/>
      </c>
      <c r="D95" s="9" t="str">
        <f>IF('Ballot Entry'!N26&lt;&gt;9999,'Ballot Entry'!N26, "")</f>
        <v/>
      </c>
      <c r="E95" s="9" t="str">
        <f>IF('Ballot Entry'!$M26&lt;&gt;9999,'Ballot Entry'!Q26,"")</f>
        <v/>
      </c>
      <c r="F95" s="9" t="e">
        <f t="shared" si="65"/>
        <v>#N/A</v>
      </c>
      <c r="G95" s="9" t="e">
        <f t="shared" si="66"/>
        <v>#VALUE!</v>
      </c>
      <c r="H95" s="395" t="e">
        <f t="shared" ref="H95:J95" si="70">H60</f>
        <v>#N/A</v>
      </c>
      <c r="I95" s="396" t="e">
        <f t="shared" si="70"/>
        <v>#N/A</v>
      </c>
      <c r="J95" s="395" t="e">
        <f t="shared" si="70"/>
        <v>#N/A</v>
      </c>
      <c r="K95" s="396" t="e">
        <f t="shared" si="39"/>
        <v>#N/A</v>
      </c>
    </row>
    <row r="96" spans="1:11" x14ac:dyDescent="0.2">
      <c r="A96" s="395">
        <v>1</v>
      </c>
      <c r="B96" s="395">
        <v>3</v>
      </c>
      <c r="C96" s="9" t="str">
        <f>IF('Ballot Entry'!M27&lt;&gt;9999,'Ballot Entry'!M27, "")</f>
        <v/>
      </c>
      <c r="D96" s="9" t="str">
        <f>IF('Ballot Entry'!N27&lt;&gt;9999,'Ballot Entry'!N27, "")</f>
        <v/>
      </c>
      <c r="E96" s="9" t="str">
        <f>IF('Ballot Entry'!$M27&lt;&gt;9999,'Ballot Entry'!Q27,"")</f>
        <v/>
      </c>
      <c r="F96" s="9" t="e">
        <f t="shared" si="65"/>
        <v>#N/A</v>
      </c>
      <c r="G96" s="9" t="e">
        <f t="shared" si="66"/>
        <v>#VALUE!</v>
      </c>
      <c r="H96" s="395" t="e">
        <f t="shared" ref="H96:J96" si="71">H61</f>
        <v>#N/A</v>
      </c>
      <c r="I96" s="396" t="e">
        <f t="shared" si="71"/>
        <v>#N/A</v>
      </c>
      <c r="J96" s="395" t="e">
        <f t="shared" si="71"/>
        <v>#N/A</v>
      </c>
      <c r="K96" s="396" t="e">
        <f t="shared" si="39"/>
        <v>#N/A</v>
      </c>
    </row>
    <row r="97" spans="1:11" x14ac:dyDescent="0.2">
      <c r="A97" s="395">
        <v>1</v>
      </c>
      <c r="B97" s="395">
        <v>3</v>
      </c>
      <c r="C97" s="9" t="str">
        <f>IF('Ballot Entry'!M28&lt;&gt;9999,'Ballot Entry'!M28, "")</f>
        <v/>
      </c>
      <c r="D97" s="9" t="str">
        <f>IF('Ballot Entry'!N28&lt;&gt;9999,'Ballot Entry'!N28, "")</f>
        <v/>
      </c>
      <c r="E97" s="9" t="str">
        <f>IF('Ballot Entry'!$M28&lt;&gt;9999,'Ballot Entry'!Q28,"")</f>
        <v/>
      </c>
      <c r="F97" s="9" t="e">
        <f t="shared" si="65"/>
        <v>#N/A</v>
      </c>
      <c r="G97" s="9" t="e">
        <f t="shared" si="66"/>
        <v>#VALUE!</v>
      </c>
      <c r="H97" s="395" t="e">
        <f t="shared" ref="H97:J97" si="72">H62</f>
        <v>#N/A</v>
      </c>
      <c r="I97" s="396" t="e">
        <f t="shared" si="72"/>
        <v>#N/A</v>
      </c>
      <c r="J97" s="395" t="e">
        <f t="shared" si="72"/>
        <v>#N/A</v>
      </c>
      <c r="K97" s="396" t="e">
        <f t="shared" si="39"/>
        <v>#N/A</v>
      </c>
    </row>
    <row r="98" spans="1:11" x14ac:dyDescent="0.2">
      <c r="A98" s="395">
        <v>1</v>
      </c>
      <c r="B98" s="395">
        <v>3</v>
      </c>
      <c r="C98" s="9" t="str">
        <f>IF('Ballot Entry'!M29&lt;&gt;9999,'Ballot Entry'!M29, "")</f>
        <v/>
      </c>
      <c r="D98" s="9" t="str">
        <f>IF('Ballot Entry'!N29&lt;&gt;9999,'Ballot Entry'!N29, "")</f>
        <v/>
      </c>
      <c r="E98" s="9" t="str">
        <f>IF('Ballot Entry'!$M29&lt;&gt;9999,'Ballot Entry'!Q29,"")</f>
        <v/>
      </c>
      <c r="F98" s="9" t="e">
        <f t="shared" si="65"/>
        <v>#N/A</v>
      </c>
      <c r="G98" s="9" t="e">
        <f t="shared" si="66"/>
        <v>#VALUE!</v>
      </c>
      <c r="H98" s="395" t="e">
        <f t="shared" ref="H98:J98" si="73">H63</f>
        <v>#N/A</v>
      </c>
      <c r="I98" s="396" t="e">
        <f t="shared" si="73"/>
        <v>#N/A</v>
      </c>
      <c r="J98" s="395" t="e">
        <f t="shared" si="73"/>
        <v>#N/A</v>
      </c>
      <c r="K98" s="396" t="e">
        <f t="shared" ref="K98:K106" si="74">VLOOKUP(J98,DComb,2,FALSE )</f>
        <v>#N/A</v>
      </c>
    </row>
    <row r="99" spans="1:11" x14ac:dyDescent="0.2">
      <c r="A99" s="395">
        <v>1</v>
      </c>
      <c r="B99" s="395">
        <v>3</v>
      </c>
      <c r="C99" s="9" t="str">
        <f>IF('Ballot Entry'!M30&lt;&gt;9999,'Ballot Entry'!M30, "")</f>
        <v/>
      </c>
      <c r="D99" s="9" t="str">
        <f>IF('Ballot Entry'!N30&lt;&gt;9999,'Ballot Entry'!N30, "")</f>
        <v/>
      </c>
      <c r="E99" s="9" t="str">
        <f>IF('Ballot Entry'!$M30&lt;&gt;9999,'Ballot Entry'!Q30,"")</f>
        <v/>
      </c>
      <c r="F99" s="9" t="e">
        <f t="shared" si="65"/>
        <v>#N/A</v>
      </c>
      <c r="G99" s="9" t="e">
        <f t="shared" si="66"/>
        <v>#VALUE!</v>
      </c>
      <c r="H99" s="395" t="e">
        <f t="shared" ref="H99:J99" si="75">H64</f>
        <v>#N/A</v>
      </c>
      <c r="I99" s="396" t="e">
        <f t="shared" si="75"/>
        <v>#N/A</v>
      </c>
      <c r="J99" s="395" t="e">
        <f t="shared" si="75"/>
        <v>#N/A</v>
      </c>
      <c r="K99" s="396" t="e">
        <f t="shared" si="74"/>
        <v>#N/A</v>
      </c>
    </row>
    <row r="100" spans="1:11" x14ac:dyDescent="0.2">
      <c r="A100" s="395">
        <v>1</v>
      </c>
      <c r="B100" s="395">
        <v>3</v>
      </c>
      <c r="C100" s="9" t="str">
        <f>IF('Ballot Entry'!M31&lt;&gt;9999,'Ballot Entry'!M31, "")</f>
        <v/>
      </c>
      <c r="D100" s="9" t="str">
        <f>IF('Ballot Entry'!N31&lt;&gt;9999,'Ballot Entry'!N31, "")</f>
        <v/>
      </c>
      <c r="E100" s="9" t="str">
        <f>IF('Ballot Entry'!$M31&lt;&gt;9999,'Ballot Entry'!Q31,"")</f>
        <v/>
      </c>
      <c r="F100" s="9" t="e">
        <f t="shared" si="65"/>
        <v>#N/A</v>
      </c>
      <c r="G100" s="9" t="e">
        <f t="shared" si="66"/>
        <v>#VALUE!</v>
      </c>
      <c r="H100" s="395" t="e">
        <f t="shared" ref="H100:J100" si="76">H65</f>
        <v>#N/A</v>
      </c>
      <c r="I100" s="396" t="e">
        <f t="shared" si="76"/>
        <v>#N/A</v>
      </c>
      <c r="J100" s="395" t="e">
        <f t="shared" si="76"/>
        <v>#N/A</v>
      </c>
      <c r="K100" s="396" t="e">
        <f t="shared" si="74"/>
        <v>#N/A</v>
      </c>
    </row>
    <row r="101" spans="1:11" x14ac:dyDescent="0.2">
      <c r="A101" s="395">
        <v>1</v>
      </c>
      <c r="B101" s="395">
        <v>3</v>
      </c>
      <c r="C101" s="9" t="str">
        <f>IF('Ballot Entry'!M32&lt;&gt;9999,'Ballot Entry'!M32, "")</f>
        <v/>
      </c>
      <c r="D101" s="9" t="str">
        <f>IF('Ballot Entry'!N32&lt;&gt;9999,'Ballot Entry'!N32, "")</f>
        <v/>
      </c>
      <c r="E101" s="9" t="str">
        <f>IF('Ballot Entry'!$M32&lt;&gt;9999,'Ballot Entry'!Q32,"")</f>
        <v/>
      </c>
      <c r="F101" s="9" t="e">
        <f t="shared" si="65"/>
        <v>#N/A</v>
      </c>
      <c r="G101" s="9" t="e">
        <f t="shared" si="66"/>
        <v>#VALUE!</v>
      </c>
      <c r="H101" s="395" t="e">
        <f t="shared" ref="H101:J101" si="77">H66</f>
        <v>#N/A</v>
      </c>
      <c r="I101" s="396" t="e">
        <f t="shared" si="77"/>
        <v>#N/A</v>
      </c>
      <c r="J101" s="395" t="e">
        <f t="shared" si="77"/>
        <v>#N/A</v>
      </c>
      <c r="K101" s="396" t="e">
        <f t="shared" si="74"/>
        <v>#N/A</v>
      </c>
    </row>
    <row r="102" spans="1:11" x14ac:dyDescent="0.2">
      <c r="A102" s="395">
        <v>1</v>
      </c>
      <c r="B102" s="395">
        <v>3</v>
      </c>
      <c r="C102" s="9" t="str">
        <f>IF('Ballot Entry'!M33&lt;&gt;9999,'Ballot Entry'!M33, "")</f>
        <v/>
      </c>
      <c r="D102" s="9" t="str">
        <f>IF('Ballot Entry'!N33&lt;&gt;9999,'Ballot Entry'!N33, "")</f>
        <v/>
      </c>
      <c r="E102" s="9" t="str">
        <f>IF('Ballot Entry'!$M33&lt;&gt;9999,'Ballot Entry'!Q33,"")</f>
        <v/>
      </c>
      <c r="F102" s="9" t="e">
        <f t="shared" si="65"/>
        <v>#N/A</v>
      </c>
      <c r="G102" s="9" t="e">
        <f t="shared" si="66"/>
        <v>#VALUE!</v>
      </c>
      <c r="H102" s="395" t="e">
        <f t="shared" ref="H102:J102" si="78">H67</f>
        <v>#N/A</v>
      </c>
      <c r="I102" s="396" t="e">
        <f t="shared" si="78"/>
        <v>#N/A</v>
      </c>
      <c r="J102" s="395" t="e">
        <f t="shared" si="78"/>
        <v>#N/A</v>
      </c>
      <c r="K102" s="396" t="e">
        <f t="shared" si="74"/>
        <v>#N/A</v>
      </c>
    </row>
    <row r="103" spans="1:11" x14ac:dyDescent="0.2">
      <c r="A103" s="395">
        <v>1</v>
      </c>
      <c r="B103" s="395">
        <v>3</v>
      </c>
      <c r="C103" s="9" t="str">
        <f>IF('Ballot Entry'!M34&lt;&gt;9999,'Ballot Entry'!M34, "")</f>
        <v/>
      </c>
      <c r="D103" s="9" t="str">
        <f>IF('Ballot Entry'!N34&lt;&gt;9999,'Ballot Entry'!N34, "")</f>
        <v/>
      </c>
      <c r="E103" s="9" t="str">
        <f>IF('Ballot Entry'!$M34&lt;&gt;9999,'Ballot Entry'!Q34,"")</f>
        <v/>
      </c>
      <c r="F103" s="9" t="e">
        <f t="shared" si="65"/>
        <v>#N/A</v>
      </c>
      <c r="G103" s="9" t="e">
        <f t="shared" si="66"/>
        <v>#VALUE!</v>
      </c>
      <c r="H103" s="395" t="e">
        <f t="shared" ref="H103:J103" si="79">H68</f>
        <v>#N/A</v>
      </c>
      <c r="I103" s="396" t="e">
        <f t="shared" si="79"/>
        <v>#N/A</v>
      </c>
      <c r="J103" s="395" t="e">
        <f t="shared" si="79"/>
        <v>#N/A</v>
      </c>
      <c r="K103" s="396" t="e">
        <f t="shared" si="74"/>
        <v>#N/A</v>
      </c>
    </row>
    <row r="104" spans="1:11" x14ac:dyDescent="0.2">
      <c r="A104" s="395">
        <v>1</v>
      </c>
      <c r="B104" s="395">
        <v>3</v>
      </c>
      <c r="C104" s="9" t="str">
        <f>IF('Ballot Entry'!M35&lt;&gt;9999,'Ballot Entry'!M35, "")</f>
        <v/>
      </c>
      <c r="D104" s="9" t="str">
        <f>IF('Ballot Entry'!N35&lt;&gt;9999,'Ballot Entry'!N35, "")</f>
        <v/>
      </c>
      <c r="E104" s="9" t="str">
        <f>IF('Ballot Entry'!$M35&lt;&gt;9999,'Ballot Entry'!Q35,"")</f>
        <v/>
      </c>
      <c r="F104" s="9" t="e">
        <f t="shared" si="65"/>
        <v>#N/A</v>
      </c>
      <c r="G104" s="9" t="e">
        <f t="shared" si="66"/>
        <v>#VALUE!</v>
      </c>
      <c r="H104" s="395" t="e">
        <f t="shared" ref="H104:J104" si="80">H69</f>
        <v>#N/A</v>
      </c>
      <c r="I104" s="396" t="e">
        <f t="shared" si="80"/>
        <v>#N/A</v>
      </c>
      <c r="J104" s="395" t="e">
        <f t="shared" si="80"/>
        <v>#N/A</v>
      </c>
      <c r="K104" s="396" t="e">
        <f t="shared" si="74"/>
        <v>#N/A</v>
      </c>
    </row>
    <row r="105" spans="1:11" x14ac:dyDescent="0.2">
      <c r="A105" s="395">
        <v>1</v>
      </c>
      <c r="B105" s="395">
        <v>3</v>
      </c>
      <c r="C105" s="9" t="str">
        <f>IF('Ballot Entry'!M36&lt;&gt;9999,'Ballot Entry'!M36, "")</f>
        <v/>
      </c>
      <c r="D105" s="9" t="str">
        <f>IF('Ballot Entry'!N36&lt;&gt;9999,'Ballot Entry'!N36, "")</f>
        <v/>
      </c>
      <c r="E105" s="9" t="str">
        <f>IF('Ballot Entry'!$M36&lt;&gt;9999,'Ballot Entry'!Q36,"")</f>
        <v/>
      </c>
      <c r="F105" s="9" t="e">
        <f t="shared" si="65"/>
        <v>#N/A</v>
      </c>
      <c r="G105" s="9" t="e">
        <f t="shared" si="66"/>
        <v>#VALUE!</v>
      </c>
      <c r="H105" s="395" t="e">
        <f t="shared" ref="H105:J105" si="81">H70</f>
        <v>#N/A</v>
      </c>
      <c r="I105" s="396" t="e">
        <f t="shared" si="81"/>
        <v>#N/A</v>
      </c>
      <c r="J105" s="395" t="e">
        <f t="shared" si="81"/>
        <v>#N/A</v>
      </c>
      <c r="K105" s="396" t="e">
        <f t="shared" si="74"/>
        <v>#N/A</v>
      </c>
    </row>
    <row r="106" spans="1:11" x14ac:dyDescent="0.2">
      <c r="A106" s="395">
        <v>1</v>
      </c>
      <c r="B106" s="395">
        <v>3</v>
      </c>
      <c r="C106" s="9" t="str">
        <f>IF('Ballot Entry'!M37&lt;&gt;9999,'Ballot Entry'!M37, "")</f>
        <v/>
      </c>
      <c r="D106" s="9" t="str">
        <f>IF('Ballot Entry'!N37&lt;&gt;9999,'Ballot Entry'!N37, "")</f>
        <v/>
      </c>
      <c r="E106" s="9" t="str">
        <f>IF('Ballot Entry'!$M37&lt;&gt;9999,'Ballot Entry'!Q37,"")</f>
        <v/>
      </c>
      <c r="F106" s="9" t="e">
        <f t="shared" si="65"/>
        <v>#N/A</v>
      </c>
      <c r="G106" s="9" t="e">
        <f t="shared" si="66"/>
        <v>#VALUE!</v>
      </c>
      <c r="H106" s="395" t="e">
        <f t="shared" ref="H106:J106" si="82">H71</f>
        <v>#N/A</v>
      </c>
      <c r="I106" s="396" t="e">
        <f t="shared" si="82"/>
        <v>#N/A</v>
      </c>
      <c r="J106" s="395" t="e">
        <f t="shared" si="82"/>
        <v>#N/A</v>
      </c>
      <c r="K106" s="396" t="e">
        <f t="shared" si="74"/>
        <v>#N/A</v>
      </c>
    </row>
    <row r="107" spans="1:11" x14ac:dyDescent="0.2">
      <c r="A107" s="395">
        <v>2</v>
      </c>
      <c r="B107" s="395">
        <v>1</v>
      </c>
      <c r="C107" s="9">
        <f>IF('Ballot Entry'!M109&lt;&gt;9999,'Ballot Entry'!M109, "")</f>
        <v>1517</v>
      </c>
      <c r="D107" s="9">
        <f>IF('Ballot Entry'!N109&lt;&gt;9999,'Ballot Entry'!N109, "")</f>
        <v>1489</v>
      </c>
      <c r="E107" s="9">
        <f>IF('Ballot Entry'!$M109&lt;&gt;9999,'Ballot Entry'!O109,"")</f>
        <v>3</v>
      </c>
      <c r="F107" s="9" t="str">
        <f t="shared" si="4"/>
        <v>P</v>
      </c>
      <c r="G107" s="9">
        <f t="shared" si="3"/>
        <v>3</v>
      </c>
      <c r="H107" s="396" t="e">
        <f>'Captains Info'!N118</f>
        <v>#N/A</v>
      </c>
      <c r="I107" s="396" t="e">
        <f t="shared" ref="I107:I110" si="83">VLOOKUP(H107,PComb,2,FALSE )</f>
        <v>#N/A</v>
      </c>
      <c r="J107" s="396" t="e">
        <f>'Captains Info'!O118</f>
        <v>#N/A</v>
      </c>
      <c r="K107" s="396" t="e">
        <f t="shared" ref="K107:K110" si="84">VLOOKUP(J107,DComb,2,FALSE )</f>
        <v>#N/A</v>
      </c>
    </row>
    <row r="108" spans="1:11" x14ac:dyDescent="0.2">
      <c r="A108" s="395">
        <v>2</v>
      </c>
      <c r="B108" s="395">
        <v>1</v>
      </c>
      <c r="C108" s="9">
        <f>IF('Ballot Entry'!M110&lt;&gt;9999,'Ballot Entry'!M110, "")</f>
        <v>1693</v>
      </c>
      <c r="D108" s="9">
        <f>IF('Ballot Entry'!N110&lt;&gt;9999,'Ballot Entry'!N110, "")</f>
        <v>1410</v>
      </c>
      <c r="E108" s="9">
        <f>IF('Ballot Entry'!$M110&lt;&gt;9999,'Ballot Entry'!O110,"")</f>
        <v>1</v>
      </c>
      <c r="F108" s="9" t="str">
        <f t="shared" si="4"/>
        <v>P</v>
      </c>
      <c r="G108" s="9">
        <f t="shared" si="3"/>
        <v>1</v>
      </c>
      <c r="H108" s="396" t="e">
        <f>'Captains Info'!N121</f>
        <v>#N/A</v>
      </c>
      <c r="I108" s="396" t="e">
        <f t="shared" si="83"/>
        <v>#N/A</v>
      </c>
      <c r="J108" s="396" t="e">
        <f>'Captains Info'!O121</f>
        <v>#N/A</v>
      </c>
      <c r="K108" s="396" t="e">
        <f t="shared" si="84"/>
        <v>#N/A</v>
      </c>
    </row>
    <row r="109" spans="1:11" x14ac:dyDescent="0.2">
      <c r="A109" s="395">
        <v>2</v>
      </c>
      <c r="B109" s="395">
        <v>1</v>
      </c>
      <c r="C109" s="9">
        <f>IF('Ballot Entry'!M111&lt;&gt;9999,'Ballot Entry'!M111, "")</f>
        <v>1001</v>
      </c>
      <c r="D109" s="9">
        <f>IF('Ballot Entry'!N111&lt;&gt;9999,'Ballot Entry'!N111, "")</f>
        <v>1258</v>
      </c>
      <c r="E109" s="9">
        <f>IF('Ballot Entry'!$M111&lt;&gt;9999,'Ballot Entry'!O111,"")</f>
        <v>2</v>
      </c>
      <c r="F109" s="9" t="str">
        <f t="shared" si="4"/>
        <v>P</v>
      </c>
      <c r="G109" s="9">
        <f t="shared" si="3"/>
        <v>2</v>
      </c>
      <c r="H109" s="396" t="e">
        <f>'Captains Info'!N124</f>
        <v>#N/A</v>
      </c>
      <c r="I109" s="396" t="e">
        <f t="shared" si="83"/>
        <v>#N/A</v>
      </c>
      <c r="J109" s="396" t="e">
        <f>'Captains Info'!O124</f>
        <v>#N/A</v>
      </c>
      <c r="K109" s="396" t="e">
        <f t="shared" si="84"/>
        <v>#N/A</v>
      </c>
    </row>
    <row r="110" spans="1:11" x14ac:dyDescent="0.2">
      <c r="A110" s="395">
        <v>2</v>
      </c>
      <c r="B110" s="395">
        <v>1</v>
      </c>
      <c r="C110" s="9">
        <f>IF('Ballot Entry'!M112&lt;&gt;9999,'Ballot Entry'!M112, "")</f>
        <v>1492</v>
      </c>
      <c r="D110" s="9">
        <f>IF('Ballot Entry'!N112&lt;&gt;9999,'Ballot Entry'!N112, "")</f>
        <v>1557</v>
      </c>
      <c r="E110" s="9">
        <f>IF('Ballot Entry'!$M112&lt;&gt;9999,'Ballot Entry'!O112,"")</f>
        <v>-11</v>
      </c>
      <c r="F110" s="9" t="str">
        <f t="shared" si="4"/>
        <v>D</v>
      </c>
      <c r="G110" s="9">
        <f t="shared" si="3"/>
        <v>11</v>
      </c>
      <c r="H110" s="396" t="e">
        <f>'Captains Info'!N127</f>
        <v>#N/A</v>
      </c>
      <c r="I110" s="396" t="e">
        <f t="shared" si="83"/>
        <v>#N/A</v>
      </c>
      <c r="J110" s="396" t="e">
        <f>'Captains Info'!O127</f>
        <v>#N/A</v>
      </c>
      <c r="K110" s="396" t="e">
        <f t="shared" si="84"/>
        <v>#N/A</v>
      </c>
    </row>
    <row r="111" spans="1:11" x14ac:dyDescent="0.2">
      <c r="A111" s="395">
        <v>2</v>
      </c>
      <c r="B111" s="395">
        <v>1</v>
      </c>
      <c r="C111" s="9">
        <f>IF('Ballot Entry'!M113&lt;&gt;9999,'Ballot Entry'!M113, "")</f>
        <v>1224</v>
      </c>
      <c r="D111" s="9">
        <f>IF('Ballot Entry'!N113&lt;&gt;9999,'Ballot Entry'!N113, "")</f>
        <v>1268</v>
      </c>
      <c r="E111" s="9">
        <f>IF('Ballot Entry'!$M113&lt;&gt;9999,'Ballot Entry'!O113,"")</f>
        <v>4</v>
      </c>
      <c r="F111" s="9" t="str">
        <f t="shared" si="4"/>
        <v>P</v>
      </c>
      <c r="G111" s="9">
        <f t="shared" si="3"/>
        <v>4</v>
      </c>
      <c r="H111" s="396" t="e">
        <f>'Captains Info'!N130</f>
        <v>#N/A</v>
      </c>
      <c r="I111" s="396" t="e">
        <f t="shared" ref="I111:I219" si="85">VLOOKUP(H111,PComb,2,FALSE )</f>
        <v>#N/A</v>
      </c>
      <c r="J111" s="396" t="e">
        <f>'Captains Info'!O130</f>
        <v>#N/A</v>
      </c>
      <c r="K111" s="396" t="e">
        <f t="shared" ref="K111:K219" si="86">VLOOKUP(J111,DComb,2,FALSE )</f>
        <v>#N/A</v>
      </c>
    </row>
    <row r="112" spans="1:11" x14ac:dyDescent="0.2">
      <c r="A112" s="395">
        <v>2</v>
      </c>
      <c r="B112" s="395">
        <v>1</v>
      </c>
      <c r="C112" s="9">
        <f>IF('Ballot Entry'!M114&lt;&gt;9999,'Ballot Entry'!M114, "")</f>
        <v>1217</v>
      </c>
      <c r="D112" s="9">
        <f>IF('Ballot Entry'!N114&lt;&gt;9999,'Ballot Entry'!N114, "")</f>
        <v>1029</v>
      </c>
      <c r="E112" s="9">
        <f>IF('Ballot Entry'!$M114&lt;&gt;9999,'Ballot Entry'!O114,"")</f>
        <v>-6</v>
      </c>
      <c r="F112" s="9" t="str">
        <f t="shared" si="4"/>
        <v>D</v>
      </c>
      <c r="G112" s="9">
        <f t="shared" ref="G112:G220" si="87">ABS(E112)</f>
        <v>6</v>
      </c>
      <c r="H112" s="396" t="e">
        <f>'Captains Info'!N133</f>
        <v>#N/A</v>
      </c>
      <c r="I112" s="396" t="e">
        <f t="shared" si="85"/>
        <v>#N/A</v>
      </c>
      <c r="J112" s="396" t="e">
        <f>'Captains Info'!O133</f>
        <v>#N/A</v>
      </c>
      <c r="K112" s="396" t="e">
        <f t="shared" si="86"/>
        <v>#N/A</v>
      </c>
    </row>
    <row r="113" spans="1:11" x14ac:dyDescent="0.2">
      <c r="A113" s="395">
        <v>2</v>
      </c>
      <c r="B113" s="395">
        <v>1</v>
      </c>
      <c r="C113" s="9">
        <f>IF('Ballot Entry'!M115&lt;&gt;9999,'Ballot Entry'!M115, "")</f>
        <v>1616</v>
      </c>
      <c r="D113" s="9">
        <f>IF('Ballot Entry'!N115&lt;&gt;9999,'Ballot Entry'!N115, "")</f>
        <v>1262</v>
      </c>
      <c r="E113" s="9">
        <f>IF('Ballot Entry'!$M115&lt;&gt;9999,'Ballot Entry'!O115,"")</f>
        <v>1</v>
      </c>
      <c r="F113" s="9" t="str">
        <f t="shared" si="4"/>
        <v>P</v>
      </c>
      <c r="G113" s="9">
        <f t="shared" si="87"/>
        <v>1</v>
      </c>
      <c r="H113" s="396" t="e">
        <f>'Captains Info'!N136</f>
        <v>#N/A</v>
      </c>
      <c r="I113" s="396" t="e">
        <f t="shared" si="85"/>
        <v>#N/A</v>
      </c>
      <c r="J113" s="396" t="e">
        <f>'Captains Info'!O136</f>
        <v>#N/A</v>
      </c>
      <c r="K113" s="396" t="e">
        <f t="shared" si="86"/>
        <v>#N/A</v>
      </c>
    </row>
    <row r="114" spans="1:11" x14ac:dyDescent="0.2">
      <c r="A114" s="395">
        <v>2</v>
      </c>
      <c r="B114" s="395">
        <v>1</v>
      </c>
      <c r="C114" s="9">
        <f>IF('Ballot Entry'!M116&lt;&gt;9999,'Ballot Entry'!M116, "")</f>
        <v>1051</v>
      </c>
      <c r="D114" s="9">
        <f>IF('Ballot Entry'!N116&lt;&gt;9999,'Ballot Entry'!N116, "")</f>
        <v>1577</v>
      </c>
      <c r="E114" s="9">
        <f>IF('Ballot Entry'!$M116&lt;&gt;9999,'Ballot Entry'!O116,"")</f>
        <v>-6</v>
      </c>
      <c r="F114" s="9" t="str">
        <f t="shared" si="4"/>
        <v>D</v>
      </c>
      <c r="G114" s="9">
        <f t="shared" si="87"/>
        <v>6</v>
      </c>
      <c r="H114" s="396" t="e">
        <f>'Captains Info'!N139</f>
        <v>#N/A</v>
      </c>
      <c r="I114" s="396" t="e">
        <f t="shared" si="85"/>
        <v>#N/A</v>
      </c>
      <c r="J114" s="396" t="e">
        <f>'Captains Info'!O139</f>
        <v>#N/A</v>
      </c>
      <c r="K114" s="396" t="e">
        <f t="shared" si="86"/>
        <v>#N/A</v>
      </c>
    </row>
    <row r="115" spans="1:11" x14ac:dyDescent="0.2">
      <c r="A115" s="395">
        <v>2</v>
      </c>
      <c r="B115" s="395">
        <v>1</v>
      </c>
      <c r="C115" s="9">
        <f>IF('Ballot Entry'!M117&lt;&gt;9999,'Ballot Entry'!M117, "")</f>
        <v>1078</v>
      </c>
      <c r="D115" s="9">
        <f>IF('Ballot Entry'!N117&lt;&gt;9999,'Ballot Entry'!N117, "")</f>
        <v>1506</v>
      </c>
      <c r="E115" s="9">
        <f>IF('Ballot Entry'!$M117&lt;&gt;9999,'Ballot Entry'!O117,"")</f>
        <v>-4</v>
      </c>
      <c r="F115" s="9" t="str">
        <f t="shared" si="4"/>
        <v>D</v>
      </c>
      <c r="G115" s="9">
        <f t="shared" si="87"/>
        <v>4</v>
      </c>
      <c r="H115" s="396" t="e">
        <f>'Captains Info'!N142</f>
        <v>#N/A</v>
      </c>
      <c r="I115" s="396" t="e">
        <f t="shared" si="85"/>
        <v>#N/A</v>
      </c>
      <c r="J115" s="396" t="e">
        <f>'Captains Info'!O142</f>
        <v>#N/A</v>
      </c>
      <c r="K115" s="396" t="e">
        <f t="shared" si="86"/>
        <v>#N/A</v>
      </c>
    </row>
    <row r="116" spans="1:11" x14ac:dyDescent="0.2">
      <c r="A116" s="395">
        <v>2</v>
      </c>
      <c r="B116" s="395">
        <v>1</v>
      </c>
      <c r="C116" s="9" t="str">
        <f>IF('Ballot Entry'!M118&lt;&gt;9999,'Ballot Entry'!M118, "")</f>
        <v/>
      </c>
      <c r="D116" s="9" t="str">
        <f>IF('Ballot Entry'!N118&lt;&gt;9999,'Ballot Entry'!N118, "")</f>
        <v/>
      </c>
      <c r="E116" s="9" t="str">
        <f>IF('Ballot Entry'!$M118&lt;&gt;9999,'Ballot Entry'!O118,"")</f>
        <v/>
      </c>
      <c r="F116" s="9" t="e">
        <f t="shared" si="4"/>
        <v>#N/A</v>
      </c>
      <c r="G116" s="9" t="e">
        <f t="shared" si="87"/>
        <v>#VALUE!</v>
      </c>
      <c r="H116" s="396" t="e">
        <f>'Captains Info'!N145</f>
        <v>#N/A</v>
      </c>
      <c r="I116" s="396" t="e">
        <f t="shared" si="85"/>
        <v>#N/A</v>
      </c>
      <c r="J116" s="396" t="e">
        <f>'Captains Info'!O145</f>
        <v>#N/A</v>
      </c>
      <c r="K116" s="396" t="e">
        <f t="shared" si="86"/>
        <v>#N/A</v>
      </c>
    </row>
    <row r="117" spans="1:11" x14ac:dyDescent="0.2">
      <c r="A117" s="395">
        <v>2</v>
      </c>
      <c r="B117" s="395">
        <v>1</v>
      </c>
      <c r="C117" s="9" t="str">
        <f>IF('Ballot Entry'!M119&lt;&gt;9999,'Ballot Entry'!M119, "")</f>
        <v/>
      </c>
      <c r="D117" s="9" t="str">
        <f>IF('Ballot Entry'!N119&lt;&gt;9999,'Ballot Entry'!N119, "")</f>
        <v/>
      </c>
      <c r="E117" s="9" t="str">
        <f>IF('Ballot Entry'!$M119&lt;&gt;9999,'Ballot Entry'!O119,"")</f>
        <v/>
      </c>
      <c r="F117" s="9" t="e">
        <f t="shared" si="4"/>
        <v>#N/A</v>
      </c>
      <c r="G117" s="9" t="e">
        <f t="shared" si="87"/>
        <v>#VALUE!</v>
      </c>
      <c r="H117" s="396" t="e">
        <f>'Captains Info'!N148</f>
        <v>#N/A</v>
      </c>
      <c r="I117" s="396" t="e">
        <f t="shared" si="85"/>
        <v>#N/A</v>
      </c>
      <c r="J117" s="396" t="e">
        <f>'Captains Info'!O148</f>
        <v>#N/A</v>
      </c>
      <c r="K117" s="396" t="e">
        <f t="shared" si="86"/>
        <v>#N/A</v>
      </c>
    </row>
    <row r="118" spans="1:11" x14ac:dyDescent="0.2">
      <c r="A118" s="395">
        <v>2</v>
      </c>
      <c r="B118" s="395">
        <v>1</v>
      </c>
      <c r="C118" s="9" t="str">
        <f>IF('Ballot Entry'!M120&lt;&gt;9999,'Ballot Entry'!M120, "")</f>
        <v/>
      </c>
      <c r="D118" s="9" t="str">
        <f>IF('Ballot Entry'!N120&lt;&gt;9999,'Ballot Entry'!N120, "")</f>
        <v/>
      </c>
      <c r="E118" s="9" t="str">
        <f>IF('Ballot Entry'!$M120&lt;&gt;9999,'Ballot Entry'!O120,"")</f>
        <v/>
      </c>
      <c r="F118" s="9" t="e">
        <f t="shared" si="4"/>
        <v>#N/A</v>
      </c>
      <c r="G118" s="9" t="e">
        <f t="shared" si="87"/>
        <v>#VALUE!</v>
      </c>
      <c r="H118" s="396" t="e">
        <f>'Captains Info'!N151</f>
        <v>#N/A</v>
      </c>
      <c r="I118" s="396" t="e">
        <f t="shared" ref="I118:I141" si="88">VLOOKUP(H118,PComb,2,FALSE )</f>
        <v>#N/A</v>
      </c>
      <c r="J118" s="396" t="e">
        <f>'Captains Info'!O151</f>
        <v>#N/A</v>
      </c>
      <c r="K118" s="396" t="e">
        <f t="shared" ref="K118:K149" si="89">VLOOKUP(J118,DComb,2,FALSE )</f>
        <v>#N/A</v>
      </c>
    </row>
    <row r="119" spans="1:11" x14ac:dyDescent="0.2">
      <c r="A119" s="395">
        <v>2</v>
      </c>
      <c r="B119" s="395">
        <v>1</v>
      </c>
      <c r="C119" s="9" t="str">
        <f>IF('Ballot Entry'!M121&lt;&gt;9999,'Ballot Entry'!M121, "")</f>
        <v/>
      </c>
      <c r="D119" s="9" t="str">
        <f>IF('Ballot Entry'!N121&lt;&gt;9999,'Ballot Entry'!N121, "")</f>
        <v/>
      </c>
      <c r="E119" s="9" t="str">
        <f>IF('Ballot Entry'!$M121&lt;&gt;9999,'Ballot Entry'!O121,"")</f>
        <v/>
      </c>
      <c r="F119" s="9" t="e">
        <f t="shared" si="4"/>
        <v>#N/A</v>
      </c>
      <c r="G119" s="9" t="e">
        <f t="shared" si="87"/>
        <v>#VALUE!</v>
      </c>
      <c r="H119" s="396" t="e">
        <f>'Captains Info'!N154</f>
        <v>#N/A</v>
      </c>
      <c r="I119" s="396" t="e">
        <f t="shared" si="88"/>
        <v>#N/A</v>
      </c>
      <c r="J119" s="396" t="e">
        <f>'Captains Info'!O154</f>
        <v>#N/A</v>
      </c>
      <c r="K119" s="396" t="e">
        <f t="shared" si="89"/>
        <v>#N/A</v>
      </c>
    </row>
    <row r="120" spans="1:11" x14ac:dyDescent="0.2">
      <c r="A120" s="395">
        <v>2</v>
      </c>
      <c r="B120" s="395">
        <v>1</v>
      </c>
      <c r="C120" s="9" t="str">
        <f>IF('Ballot Entry'!M122&lt;&gt;9999,'Ballot Entry'!M122, "")</f>
        <v/>
      </c>
      <c r="D120" s="9" t="str">
        <f>IF('Ballot Entry'!N122&lt;&gt;9999,'Ballot Entry'!N122, "")</f>
        <v/>
      </c>
      <c r="E120" s="9" t="str">
        <f>IF('Ballot Entry'!$M122&lt;&gt;9999,'Ballot Entry'!O122,"")</f>
        <v/>
      </c>
      <c r="F120" s="9" t="e">
        <f t="shared" si="4"/>
        <v>#N/A</v>
      </c>
      <c r="G120" s="9" t="e">
        <f t="shared" si="87"/>
        <v>#VALUE!</v>
      </c>
      <c r="H120" s="396" t="e">
        <f>'Captains Info'!N157</f>
        <v>#N/A</v>
      </c>
      <c r="I120" s="396" t="e">
        <f t="shared" si="88"/>
        <v>#N/A</v>
      </c>
      <c r="J120" s="396" t="e">
        <f>'Captains Info'!O157</f>
        <v>#N/A</v>
      </c>
      <c r="K120" s="396" t="e">
        <f t="shared" si="89"/>
        <v>#N/A</v>
      </c>
    </row>
    <row r="121" spans="1:11" x14ac:dyDescent="0.2">
      <c r="A121" s="395">
        <v>2</v>
      </c>
      <c r="B121" s="395">
        <v>1</v>
      </c>
      <c r="C121" s="9" t="str">
        <f>IF('Ballot Entry'!M123&lt;&gt;9999,'Ballot Entry'!M123, "")</f>
        <v/>
      </c>
      <c r="D121" s="9" t="str">
        <f>IF('Ballot Entry'!N123&lt;&gt;9999,'Ballot Entry'!N123, "")</f>
        <v/>
      </c>
      <c r="E121" s="9" t="str">
        <f>IF('Ballot Entry'!$M123&lt;&gt;9999,'Ballot Entry'!O123,"")</f>
        <v/>
      </c>
      <c r="F121" s="9" t="e">
        <f t="shared" si="4"/>
        <v>#N/A</v>
      </c>
      <c r="G121" s="9" t="e">
        <f t="shared" si="87"/>
        <v>#VALUE!</v>
      </c>
      <c r="H121" s="396" t="e">
        <f>'Captains Info'!N160</f>
        <v>#N/A</v>
      </c>
      <c r="I121" s="396" t="e">
        <f t="shared" si="88"/>
        <v>#N/A</v>
      </c>
      <c r="J121" s="396" t="e">
        <f>'Captains Info'!O160</f>
        <v>#N/A</v>
      </c>
      <c r="K121" s="396" t="e">
        <f t="shared" si="89"/>
        <v>#N/A</v>
      </c>
    </row>
    <row r="122" spans="1:11" x14ac:dyDescent="0.2">
      <c r="A122" s="395">
        <v>2</v>
      </c>
      <c r="B122" s="395">
        <v>1</v>
      </c>
      <c r="C122" s="9" t="str">
        <f>IF('Ballot Entry'!M124&lt;&gt;9999,'Ballot Entry'!M124, "")</f>
        <v/>
      </c>
      <c r="D122" s="9" t="str">
        <f>IF('Ballot Entry'!N124&lt;&gt;9999,'Ballot Entry'!N124, "")</f>
        <v/>
      </c>
      <c r="E122" s="9" t="str">
        <f>IF('Ballot Entry'!$M124&lt;&gt;9999,'Ballot Entry'!O124,"")</f>
        <v/>
      </c>
      <c r="F122" s="9" t="e">
        <f t="shared" si="4"/>
        <v>#N/A</v>
      </c>
      <c r="G122" s="9" t="e">
        <f t="shared" si="87"/>
        <v>#VALUE!</v>
      </c>
      <c r="H122" s="396" t="e">
        <f>'Captains Info'!N163</f>
        <v>#N/A</v>
      </c>
      <c r="I122" s="396" t="e">
        <f t="shared" si="88"/>
        <v>#N/A</v>
      </c>
      <c r="J122" s="396" t="e">
        <f>'Captains Info'!O163</f>
        <v>#N/A</v>
      </c>
      <c r="K122" s="396" t="e">
        <f t="shared" si="89"/>
        <v>#N/A</v>
      </c>
    </row>
    <row r="123" spans="1:11" x14ac:dyDescent="0.2">
      <c r="A123" s="395">
        <v>2</v>
      </c>
      <c r="B123" s="395">
        <v>1</v>
      </c>
      <c r="C123" s="9" t="str">
        <f>IF('Ballot Entry'!M125&lt;&gt;9999,'Ballot Entry'!M125, "")</f>
        <v/>
      </c>
      <c r="D123" s="9" t="str">
        <f>IF('Ballot Entry'!N125&lt;&gt;9999,'Ballot Entry'!N125, "")</f>
        <v/>
      </c>
      <c r="E123" s="9" t="str">
        <f>IF('Ballot Entry'!$M125&lt;&gt;9999,'Ballot Entry'!O125,"")</f>
        <v/>
      </c>
      <c r="F123" s="9" t="e">
        <f t="shared" ref="F123:F231" si="90">IF(E123="",NA(),IF(E123&gt;0, "P", IF(E123&lt;0,"D", "T")))</f>
        <v>#N/A</v>
      </c>
      <c r="G123" s="9" t="e">
        <f t="shared" si="87"/>
        <v>#VALUE!</v>
      </c>
      <c r="H123" s="396" t="e">
        <f>'Captains Info'!N166</f>
        <v>#N/A</v>
      </c>
      <c r="I123" s="396" t="e">
        <f t="shared" si="88"/>
        <v>#N/A</v>
      </c>
      <c r="J123" s="396" t="e">
        <f>'Captains Info'!O166</f>
        <v>#N/A</v>
      </c>
      <c r="K123" s="396" t="e">
        <f t="shared" si="89"/>
        <v>#N/A</v>
      </c>
    </row>
    <row r="124" spans="1:11" x14ac:dyDescent="0.2">
      <c r="A124" s="395">
        <v>2</v>
      </c>
      <c r="B124" s="395">
        <v>1</v>
      </c>
      <c r="C124" s="9" t="str">
        <f>IF('Ballot Entry'!M126&lt;&gt;9999,'Ballot Entry'!M126, "")</f>
        <v/>
      </c>
      <c r="D124" s="9" t="str">
        <f>IF('Ballot Entry'!N126&lt;&gt;9999,'Ballot Entry'!N126, "")</f>
        <v/>
      </c>
      <c r="E124" s="9" t="str">
        <f>IF('Ballot Entry'!$M126&lt;&gt;9999,'Ballot Entry'!O126,"")</f>
        <v/>
      </c>
      <c r="F124" s="9" t="e">
        <f t="shared" si="90"/>
        <v>#N/A</v>
      </c>
      <c r="G124" s="9" t="e">
        <f t="shared" si="87"/>
        <v>#VALUE!</v>
      </c>
      <c r="H124" s="396" t="e">
        <f>'Captains Info'!N169</f>
        <v>#N/A</v>
      </c>
      <c r="I124" s="396" t="e">
        <f t="shared" si="88"/>
        <v>#N/A</v>
      </c>
      <c r="J124" s="396" t="e">
        <f>'Captains Info'!O169</f>
        <v>#N/A</v>
      </c>
      <c r="K124" s="396" t="e">
        <f t="shared" si="89"/>
        <v>#N/A</v>
      </c>
    </row>
    <row r="125" spans="1:11" x14ac:dyDescent="0.2">
      <c r="A125" s="395">
        <v>2</v>
      </c>
      <c r="B125" s="395">
        <v>1</v>
      </c>
      <c r="C125" s="9" t="str">
        <f>IF('Ballot Entry'!M127&lt;&gt;9999,'Ballot Entry'!M127, "")</f>
        <v/>
      </c>
      <c r="D125" s="9" t="str">
        <f>IF('Ballot Entry'!N127&lt;&gt;9999,'Ballot Entry'!N127, "")</f>
        <v/>
      </c>
      <c r="E125" s="9" t="str">
        <f>IF('Ballot Entry'!$M127&lt;&gt;9999,'Ballot Entry'!O127,"")</f>
        <v/>
      </c>
      <c r="F125" s="9" t="e">
        <f t="shared" si="90"/>
        <v>#N/A</v>
      </c>
      <c r="G125" s="9" t="e">
        <f t="shared" ref="G125:G141" si="91">ABS(E125)</f>
        <v>#VALUE!</v>
      </c>
      <c r="H125" s="396" t="e">
        <f>'Captains Info'!N172</f>
        <v>#N/A</v>
      </c>
      <c r="I125" s="396" t="e">
        <f t="shared" si="88"/>
        <v>#N/A</v>
      </c>
      <c r="J125" s="396" t="e">
        <f>'Captains Info'!O172</f>
        <v>#N/A</v>
      </c>
      <c r="K125" s="396" t="e">
        <f t="shared" si="89"/>
        <v>#N/A</v>
      </c>
    </row>
    <row r="126" spans="1:11" x14ac:dyDescent="0.2">
      <c r="A126" s="395">
        <v>2</v>
      </c>
      <c r="B126" s="395">
        <v>1</v>
      </c>
      <c r="C126" s="9" t="str">
        <f>IF('Ballot Entry'!M128&lt;&gt;9999,'Ballot Entry'!M128, "")</f>
        <v/>
      </c>
      <c r="D126" s="9" t="str">
        <f>IF('Ballot Entry'!N128&lt;&gt;9999,'Ballot Entry'!N128, "")</f>
        <v/>
      </c>
      <c r="E126" s="9" t="str">
        <f>IF('Ballot Entry'!$M128&lt;&gt;9999,'Ballot Entry'!O128,"")</f>
        <v/>
      </c>
      <c r="F126" s="9" t="e">
        <f t="shared" si="90"/>
        <v>#N/A</v>
      </c>
      <c r="G126" s="9" t="e">
        <f t="shared" si="91"/>
        <v>#VALUE!</v>
      </c>
      <c r="H126" s="396" t="e">
        <f>'Captains Info'!N175</f>
        <v>#N/A</v>
      </c>
      <c r="I126" s="396" t="e">
        <f t="shared" si="88"/>
        <v>#N/A</v>
      </c>
      <c r="J126" s="396" t="e">
        <f>'Captains Info'!O175</f>
        <v>#N/A</v>
      </c>
      <c r="K126" s="396" t="e">
        <f t="shared" si="89"/>
        <v>#N/A</v>
      </c>
    </row>
    <row r="127" spans="1:11" x14ac:dyDescent="0.2">
      <c r="A127" s="395">
        <v>2</v>
      </c>
      <c r="B127" s="395">
        <v>1</v>
      </c>
      <c r="C127" s="9" t="str">
        <f>IF('Ballot Entry'!M129&lt;&gt;9999,'Ballot Entry'!M129, "")</f>
        <v/>
      </c>
      <c r="D127" s="9" t="str">
        <f>IF('Ballot Entry'!N129&lt;&gt;9999,'Ballot Entry'!N129, "")</f>
        <v/>
      </c>
      <c r="E127" s="9" t="str">
        <f>IF('Ballot Entry'!$M129&lt;&gt;9999,'Ballot Entry'!O129,"")</f>
        <v/>
      </c>
      <c r="F127" s="9" t="e">
        <f t="shared" si="90"/>
        <v>#N/A</v>
      </c>
      <c r="G127" s="9" t="e">
        <f t="shared" si="91"/>
        <v>#VALUE!</v>
      </c>
      <c r="H127" s="396" t="e">
        <f>'Captains Info'!N178</f>
        <v>#N/A</v>
      </c>
      <c r="I127" s="396" t="e">
        <f t="shared" si="88"/>
        <v>#N/A</v>
      </c>
      <c r="J127" s="396" t="e">
        <f>'Captains Info'!O178</f>
        <v>#N/A</v>
      </c>
      <c r="K127" s="396" t="e">
        <f t="shared" si="89"/>
        <v>#N/A</v>
      </c>
    </row>
    <row r="128" spans="1:11" x14ac:dyDescent="0.2">
      <c r="A128" s="395">
        <v>2</v>
      </c>
      <c r="B128" s="395">
        <v>1</v>
      </c>
      <c r="C128" s="9" t="str">
        <f>IF('Ballot Entry'!M130&lt;&gt;9999,'Ballot Entry'!M130, "")</f>
        <v/>
      </c>
      <c r="D128" s="9" t="str">
        <f>IF('Ballot Entry'!N130&lt;&gt;9999,'Ballot Entry'!N130, "")</f>
        <v/>
      </c>
      <c r="E128" s="9" t="str">
        <f>IF('Ballot Entry'!$M130&lt;&gt;9999,'Ballot Entry'!O130,"")</f>
        <v/>
      </c>
      <c r="F128" s="9" t="e">
        <f t="shared" si="90"/>
        <v>#N/A</v>
      </c>
      <c r="G128" s="9" t="e">
        <f t="shared" si="91"/>
        <v>#VALUE!</v>
      </c>
      <c r="H128" s="396" t="e">
        <f>'Captains Info'!N181</f>
        <v>#N/A</v>
      </c>
      <c r="I128" s="396" t="e">
        <f t="shared" si="88"/>
        <v>#N/A</v>
      </c>
      <c r="J128" s="396" t="e">
        <f>'Captains Info'!O181</f>
        <v>#N/A</v>
      </c>
      <c r="K128" s="396" t="e">
        <f t="shared" si="89"/>
        <v>#N/A</v>
      </c>
    </row>
    <row r="129" spans="1:21" x14ac:dyDescent="0.2">
      <c r="A129" s="395">
        <v>2</v>
      </c>
      <c r="B129" s="395">
        <v>1</v>
      </c>
      <c r="C129" s="9" t="str">
        <f>IF('Ballot Entry'!M131&lt;&gt;9999,'Ballot Entry'!M131, "")</f>
        <v/>
      </c>
      <c r="D129" s="9" t="str">
        <f>IF('Ballot Entry'!N131&lt;&gt;9999,'Ballot Entry'!N131, "")</f>
        <v/>
      </c>
      <c r="E129" s="9" t="str">
        <f>IF('Ballot Entry'!$M131&lt;&gt;9999,'Ballot Entry'!O131,"")</f>
        <v/>
      </c>
      <c r="F129" s="9" t="e">
        <f t="shared" ref="F129:F141" si="92">IF(E129="",NA(),IF(E129&gt;0, "P", IF(E129&lt;0,"D", "T")))</f>
        <v>#N/A</v>
      </c>
      <c r="G129" s="9" t="e">
        <f t="shared" si="91"/>
        <v>#VALUE!</v>
      </c>
      <c r="H129" s="396" t="e">
        <f>'Captains Info'!N184</f>
        <v>#N/A</v>
      </c>
      <c r="I129" s="396" t="e">
        <f t="shared" si="88"/>
        <v>#N/A</v>
      </c>
      <c r="J129" s="396" t="e">
        <f>'Captains Info'!O184</f>
        <v>#N/A</v>
      </c>
      <c r="K129" s="396" t="e">
        <f t="shared" si="89"/>
        <v>#N/A</v>
      </c>
    </row>
    <row r="130" spans="1:21" x14ac:dyDescent="0.2">
      <c r="A130" s="395">
        <v>2</v>
      </c>
      <c r="B130" s="395">
        <v>1</v>
      </c>
      <c r="C130" s="9" t="str">
        <f>IF('Ballot Entry'!M132&lt;&gt;9999,'Ballot Entry'!M132, "")</f>
        <v/>
      </c>
      <c r="D130" s="9" t="str">
        <f>IF('Ballot Entry'!N132&lt;&gt;9999,'Ballot Entry'!N132, "")</f>
        <v/>
      </c>
      <c r="E130" s="9" t="str">
        <f>IF('Ballot Entry'!$M132&lt;&gt;9999,'Ballot Entry'!O132,"")</f>
        <v/>
      </c>
      <c r="F130" s="9" t="e">
        <f t="shared" si="92"/>
        <v>#N/A</v>
      </c>
      <c r="G130" s="9" t="e">
        <f t="shared" si="91"/>
        <v>#VALUE!</v>
      </c>
      <c r="H130" s="396" t="e">
        <f>'Captains Info'!N187</f>
        <v>#N/A</v>
      </c>
      <c r="I130" s="396" t="e">
        <f t="shared" si="88"/>
        <v>#N/A</v>
      </c>
      <c r="J130" s="396" t="e">
        <f>'Captains Info'!O187</f>
        <v>#N/A</v>
      </c>
      <c r="K130" s="396" t="e">
        <f t="shared" si="89"/>
        <v>#N/A</v>
      </c>
    </row>
    <row r="131" spans="1:21" x14ac:dyDescent="0.2">
      <c r="A131" s="395">
        <v>2</v>
      </c>
      <c r="B131" s="395">
        <v>1</v>
      </c>
      <c r="C131" s="9" t="str">
        <f>IF('Ballot Entry'!M133&lt;&gt;9999,'Ballot Entry'!M133, "")</f>
        <v/>
      </c>
      <c r="D131" s="9" t="str">
        <f>IF('Ballot Entry'!N133&lt;&gt;9999,'Ballot Entry'!N133, "")</f>
        <v/>
      </c>
      <c r="E131" s="9" t="str">
        <f>IF('Ballot Entry'!$M133&lt;&gt;9999,'Ballot Entry'!O133,"")</f>
        <v/>
      </c>
      <c r="F131" s="9" t="e">
        <f t="shared" si="92"/>
        <v>#N/A</v>
      </c>
      <c r="G131" s="9" t="e">
        <f t="shared" si="91"/>
        <v>#VALUE!</v>
      </c>
      <c r="H131" s="396" t="e">
        <f>'Captains Info'!N190</f>
        <v>#N/A</v>
      </c>
      <c r="I131" s="396" t="e">
        <f t="shared" si="88"/>
        <v>#N/A</v>
      </c>
      <c r="J131" s="396" t="e">
        <f>'Captains Info'!O190</f>
        <v>#N/A</v>
      </c>
      <c r="K131" s="396" t="e">
        <f t="shared" si="89"/>
        <v>#N/A</v>
      </c>
    </row>
    <row r="132" spans="1:21" x14ac:dyDescent="0.2">
      <c r="A132" s="395">
        <v>2</v>
      </c>
      <c r="B132" s="395">
        <v>1</v>
      </c>
      <c r="C132" s="9" t="str">
        <f>IF('Ballot Entry'!M134&lt;&gt;9999,'Ballot Entry'!M134, "")</f>
        <v/>
      </c>
      <c r="D132" s="9" t="str">
        <f>IF('Ballot Entry'!N134&lt;&gt;9999,'Ballot Entry'!N134, "")</f>
        <v/>
      </c>
      <c r="E132" s="9" t="str">
        <f>IF('Ballot Entry'!$M134&lt;&gt;9999,'Ballot Entry'!O134,"")</f>
        <v/>
      </c>
      <c r="F132" s="9" t="e">
        <f t="shared" si="92"/>
        <v>#N/A</v>
      </c>
      <c r="G132" s="9" t="e">
        <f t="shared" si="91"/>
        <v>#VALUE!</v>
      </c>
      <c r="H132" s="396" t="e">
        <f>'Captains Info'!N193</f>
        <v>#N/A</v>
      </c>
      <c r="I132" s="396" t="e">
        <f t="shared" si="88"/>
        <v>#N/A</v>
      </c>
      <c r="J132" s="396" t="e">
        <f>'Captains Info'!O193</f>
        <v>#N/A</v>
      </c>
      <c r="K132" s="396" t="e">
        <f t="shared" si="89"/>
        <v>#N/A</v>
      </c>
    </row>
    <row r="133" spans="1:21" x14ac:dyDescent="0.2">
      <c r="A133" s="395">
        <v>2</v>
      </c>
      <c r="B133" s="395">
        <v>1</v>
      </c>
      <c r="C133" s="9" t="str">
        <f>IF('Ballot Entry'!M135&lt;&gt;9999,'Ballot Entry'!M135, "")</f>
        <v/>
      </c>
      <c r="D133" s="9" t="str">
        <f>IF('Ballot Entry'!N135&lt;&gt;9999,'Ballot Entry'!N135, "")</f>
        <v/>
      </c>
      <c r="E133" s="9" t="str">
        <f>IF('Ballot Entry'!$M135&lt;&gt;9999,'Ballot Entry'!O135,"")</f>
        <v/>
      </c>
      <c r="F133" s="9" t="e">
        <f t="shared" si="92"/>
        <v>#N/A</v>
      </c>
      <c r="G133" s="9" t="e">
        <f t="shared" si="91"/>
        <v>#VALUE!</v>
      </c>
      <c r="H133" s="396" t="e">
        <f>'Captains Info'!N196</f>
        <v>#N/A</v>
      </c>
      <c r="I133" s="396" t="e">
        <f t="shared" si="88"/>
        <v>#N/A</v>
      </c>
      <c r="J133" s="396" t="e">
        <f>'Captains Info'!O196</f>
        <v>#N/A</v>
      </c>
      <c r="K133" s="396" t="e">
        <f t="shared" si="89"/>
        <v>#N/A</v>
      </c>
    </row>
    <row r="134" spans="1:21" x14ac:dyDescent="0.2">
      <c r="A134" s="395">
        <v>2</v>
      </c>
      <c r="B134" s="395">
        <v>1</v>
      </c>
      <c r="C134" s="9" t="str">
        <f>IF('Ballot Entry'!M136&lt;&gt;9999,'Ballot Entry'!M136, "")</f>
        <v/>
      </c>
      <c r="D134" s="9" t="str">
        <f>IF('Ballot Entry'!N136&lt;&gt;9999,'Ballot Entry'!N136, "")</f>
        <v/>
      </c>
      <c r="E134" s="9" t="str">
        <f>IF('Ballot Entry'!$M136&lt;&gt;9999,'Ballot Entry'!O136,"")</f>
        <v/>
      </c>
      <c r="F134" s="9" t="e">
        <f t="shared" si="92"/>
        <v>#N/A</v>
      </c>
      <c r="G134" s="9" t="e">
        <f t="shared" si="91"/>
        <v>#VALUE!</v>
      </c>
      <c r="H134" s="396" t="e">
        <f>'Captains Info'!N199</f>
        <v>#N/A</v>
      </c>
      <c r="I134" s="396" t="e">
        <f t="shared" si="88"/>
        <v>#N/A</v>
      </c>
      <c r="J134" s="396" t="e">
        <f>'Captains Info'!O199</f>
        <v>#N/A</v>
      </c>
      <c r="K134" s="396" t="e">
        <f t="shared" si="89"/>
        <v>#N/A</v>
      </c>
    </row>
    <row r="135" spans="1:21" x14ac:dyDescent="0.2">
      <c r="A135" s="395">
        <v>2</v>
      </c>
      <c r="B135" s="395">
        <v>1</v>
      </c>
      <c r="C135" s="9" t="str">
        <f>IF('Ballot Entry'!M137&lt;&gt;9999,'Ballot Entry'!M137, "")</f>
        <v/>
      </c>
      <c r="D135" s="9" t="str">
        <f>IF('Ballot Entry'!N137&lt;&gt;9999,'Ballot Entry'!N137, "")</f>
        <v/>
      </c>
      <c r="E135" s="9" t="str">
        <f>IF('Ballot Entry'!$M137&lt;&gt;9999,'Ballot Entry'!O137,"")</f>
        <v/>
      </c>
      <c r="F135" s="9" t="e">
        <f t="shared" si="92"/>
        <v>#N/A</v>
      </c>
      <c r="G135" s="9" t="e">
        <f t="shared" si="91"/>
        <v>#VALUE!</v>
      </c>
      <c r="H135" s="396" t="e">
        <f>'Captains Info'!N202</f>
        <v>#N/A</v>
      </c>
      <c r="I135" s="396" t="e">
        <f t="shared" si="88"/>
        <v>#N/A</v>
      </c>
      <c r="J135" s="396" t="e">
        <f>'Captains Info'!O202</f>
        <v>#N/A</v>
      </c>
      <c r="K135" s="396" t="e">
        <f t="shared" si="89"/>
        <v>#N/A</v>
      </c>
    </row>
    <row r="136" spans="1:21" x14ac:dyDescent="0.2">
      <c r="A136" s="395">
        <v>2</v>
      </c>
      <c r="B136" s="395">
        <v>1</v>
      </c>
      <c r="C136" s="9" t="str">
        <f>IF('Ballot Entry'!M138&lt;&gt;9999,'Ballot Entry'!M138, "")</f>
        <v/>
      </c>
      <c r="D136" s="9" t="str">
        <f>IF('Ballot Entry'!N138&lt;&gt;9999,'Ballot Entry'!N138, "")</f>
        <v/>
      </c>
      <c r="E136" s="9" t="str">
        <f>IF('Ballot Entry'!$M138&lt;&gt;9999,'Ballot Entry'!O138,"")</f>
        <v/>
      </c>
      <c r="F136" s="9" t="e">
        <f t="shared" si="92"/>
        <v>#N/A</v>
      </c>
      <c r="G136" s="9" t="e">
        <f t="shared" si="91"/>
        <v>#VALUE!</v>
      </c>
      <c r="H136" s="396" t="e">
        <f>'Captains Info'!N205</f>
        <v>#N/A</v>
      </c>
      <c r="I136" s="396" t="e">
        <f t="shared" si="88"/>
        <v>#N/A</v>
      </c>
      <c r="J136" s="396" t="e">
        <f>'Captains Info'!O205</f>
        <v>#N/A</v>
      </c>
      <c r="K136" s="396" t="e">
        <f t="shared" si="89"/>
        <v>#N/A</v>
      </c>
    </row>
    <row r="137" spans="1:21" x14ac:dyDescent="0.2">
      <c r="A137" s="395">
        <v>2</v>
      </c>
      <c r="B137" s="395">
        <v>1</v>
      </c>
      <c r="C137" s="9" t="str">
        <f>IF('Ballot Entry'!M139&lt;&gt;9999,'Ballot Entry'!M139, "")</f>
        <v/>
      </c>
      <c r="D137" s="9" t="str">
        <f>IF('Ballot Entry'!N139&lt;&gt;9999,'Ballot Entry'!N139, "")</f>
        <v/>
      </c>
      <c r="E137" s="9" t="str">
        <f>IF('Ballot Entry'!$M139&lt;&gt;9999,'Ballot Entry'!O139,"")</f>
        <v/>
      </c>
      <c r="F137" s="9" t="e">
        <f t="shared" si="92"/>
        <v>#N/A</v>
      </c>
      <c r="G137" s="9" t="e">
        <f t="shared" si="91"/>
        <v>#VALUE!</v>
      </c>
      <c r="H137" s="396" t="e">
        <f>'Captains Info'!N208</f>
        <v>#N/A</v>
      </c>
      <c r="I137" s="396" t="e">
        <f t="shared" si="88"/>
        <v>#N/A</v>
      </c>
      <c r="J137" s="396" t="e">
        <f>'Captains Info'!O208</f>
        <v>#N/A</v>
      </c>
      <c r="K137" s="396" t="e">
        <f t="shared" si="89"/>
        <v>#N/A</v>
      </c>
    </row>
    <row r="138" spans="1:21" x14ac:dyDescent="0.2">
      <c r="A138" s="395">
        <v>2</v>
      </c>
      <c r="B138" s="395">
        <v>1</v>
      </c>
      <c r="C138" s="9" t="str">
        <f>IF('Ballot Entry'!M140&lt;&gt;9999,'Ballot Entry'!M140, "")</f>
        <v/>
      </c>
      <c r="D138" s="9" t="str">
        <f>IF('Ballot Entry'!N140&lt;&gt;9999,'Ballot Entry'!N140, "")</f>
        <v/>
      </c>
      <c r="E138" s="9" t="str">
        <f>IF('Ballot Entry'!$M140&lt;&gt;9999,'Ballot Entry'!O140,"")</f>
        <v/>
      </c>
      <c r="F138" s="9" t="e">
        <f t="shared" si="92"/>
        <v>#N/A</v>
      </c>
      <c r="G138" s="9" t="e">
        <f t="shared" si="91"/>
        <v>#VALUE!</v>
      </c>
      <c r="H138" s="396" t="e">
        <f>'Captains Info'!N211</f>
        <v>#N/A</v>
      </c>
      <c r="I138" s="396" t="e">
        <f t="shared" si="88"/>
        <v>#N/A</v>
      </c>
      <c r="J138" s="396" t="e">
        <f>'Captains Info'!O211</f>
        <v>#N/A</v>
      </c>
      <c r="K138" s="396" t="e">
        <f t="shared" si="89"/>
        <v>#N/A</v>
      </c>
    </row>
    <row r="139" spans="1:21" x14ac:dyDescent="0.2">
      <c r="A139" s="395">
        <v>2</v>
      </c>
      <c r="B139" s="395">
        <v>1</v>
      </c>
      <c r="C139" s="9" t="str">
        <f>IF('Ballot Entry'!M141&lt;&gt;9999,'Ballot Entry'!M141, "")</f>
        <v/>
      </c>
      <c r="D139" s="9" t="str">
        <f>IF('Ballot Entry'!N141&lt;&gt;9999,'Ballot Entry'!N141, "")</f>
        <v/>
      </c>
      <c r="E139" s="9" t="str">
        <f>IF('Ballot Entry'!$M141&lt;&gt;9999,'Ballot Entry'!O141,"")</f>
        <v/>
      </c>
      <c r="F139" s="9" t="e">
        <f t="shared" si="92"/>
        <v>#N/A</v>
      </c>
      <c r="G139" s="9" t="e">
        <f t="shared" si="91"/>
        <v>#VALUE!</v>
      </c>
      <c r="H139" s="396" t="e">
        <f>'Captains Info'!N214</f>
        <v>#N/A</v>
      </c>
      <c r="I139" s="396" t="e">
        <f t="shared" si="88"/>
        <v>#N/A</v>
      </c>
      <c r="J139" s="396" t="e">
        <f>'Captains Info'!O214</f>
        <v>#N/A</v>
      </c>
      <c r="K139" s="396" t="e">
        <f t="shared" si="89"/>
        <v>#N/A</v>
      </c>
    </row>
    <row r="140" spans="1:21" x14ac:dyDescent="0.2">
      <c r="A140" s="395">
        <v>2</v>
      </c>
      <c r="B140" s="395">
        <v>1</v>
      </c>
      <c r="C140" s="9" t="str">
        <f>IF('Ballot Entry'!M142&lt;&gt;9999,'Ballot Entry'!M142, "")</f>
        <v/>
      </c>
      <c r="D140" s="9" t="str">
        <f>IF('Ballot Entry'!N142&lt;&gt;9999,'Ballot Entry'!N142, "")</f>
        <v/>
      </c>
      <c r="E140" s="9" t="str">
        <f>IF('Ballot Entry'!$M142&lt;&gt;9999,'Ballot Entry'!O142,"")</f>
        <v/>
      </c>
      <c r="F140" s="9" t="e">
        <f t="shared" si="92"/>
        <v>#N/A</v>
      </c>
      <c r="G140" s="9" t="e">
        <f t="shared" si="91"/>
        <v>#VALUE!</v>
      </c>
      <c r="H140" s="396" t="e">
        <f>'Captains Info'!N217</f>
        <v>#N/A</v>
      </c>
      <c r="I140" s="396" t="e">
        <f t="shared" si="88"/>
        <v>#N/A</v>
      </c>
      <c r="J140" s="396" t="e">
        <f>'Captains Info'!O217</f>
        <v>#N/A</v>
      </c>
      <c r="K140" s="396" t="e">
        <f t="shared" si="89"/>
        <v>#N/A</v>
      </c>
    </row>
    <row r="141" spans="1:21" x14ac:dyDescent="0.2">
      <c r="A141" s="395">
        <v>2</v>
      </c>
      <c r="B141" s="395">
        <v>1</v>
      </c>
      <c r="C141" s="9" t="str">
        <f>IF('Ballot Entry'!M143&lt;&gt;9999,'Ballot Entry'!M143, "")</f>
        <v/>
      </c>
      <c r="D141" s="9" t="str">
        <f>IF('Ballot Entry'!N143&lt;&gt;9999,'Ballot Entry'!N143, "")</f>
        <v/>
      </c>
      <c r="E141" s="9" t="str">
        <f>IF('Ballot Entry'!$M143&lt;&gt;9999,'Ballot Entry'!O143,"")</f>
        <v/>
      </c>
      <c r="F141" s="9" t="e">
        <f t="shared" si="92"/>
        <v>#N/A</v>
      </c>
      <c r="G141" s="9" t="e">
        <f t="shared" si="91"/>
        <v>#VALUE!</v>
      </c>
      <c r="H141" s="396" t="e">
        <f>'Captains Info'!N220</f>
        <v>#N/A</v>
      </c>
      <c r="I141" s="396" t="e">
        <f t="shared" si="88"/>
        <v>#N/A</v>
      </c>
      <c r="J141" s="396" t="e">
        <f>'Captains Info'!O220</f>
        <v>#N/A</v>
      </c>
      <c r="K141" s="396" t="e">
        <f t="shared" si="89"/>
        <v>#N/A</v>
      </c>
    </row>
    <row r="142" spans="1:21" x14ac:dyDescent="0.2">
      <c r="A142" s="395">
        <v>2</v>
      </c>
      <c r="B142" s="395">
        <v>2</v>
      </c>
      <c r="C142" s="9">
        <f>IF('Ballot Entry'!M109&lt;&gt;9999,'Ballot Entry'!M109, "")</f>
        <v>1517</v>
      </c>
      <c r="D142" s="9">
        <f>IF('Ballot Entry'!N109&lt;&gt;9999,'Ballot Entry'!N109, "")</f>
        <v>1489</v>
      </c>
      <c r="E142" s="9">
        <f>IF('Ballot Entry'!$M109&lt;&gt;9999,'Ballot Entry'!P109,"")</f>
        <v>4</v>
      </c>
      <c r="F142" s="9" t="str">
        <f t="shared" si="90"/>
        <v>P</v>
      </c>
      <c r="G142" s="9">
        <f t="shared" si="87"/>
        <v>4</v>
      </c>
      <c r="H142" s="395" t="e">
        <f>H107</f>
        <v>#N/A</v>
      </c>
      <c r="I142" s="395" t="e">
        <f>I107</f>
        <v>#N/A</v>
      </c>
      <c r="J142" s="395" t="e">
        <f t="shared" ref="J142:K177" si="93">J107</f>
        <v>#N/A</v>
      </c>
      <c r="K142" s="396" t="e">
        <f t="shared" si="89"/>
        <v>#N/A</v>
      </c>
      <c r="R142" s="396"/>
      <c r="S142" s="396"/>
      <c r="T142" s="396"/>
      <c r="U142" s="396"/>
    </row>
    <row r="143" spans="1:21" x14ac:dyDescent="0.2">
      <c r="A143" s="395">
        <v>2</v>
      </c>
      <c r="B143" s="395">
        <v>2</v>
      </c>
      <c r="C143" s="9">
        <f>IF('Ballot Entry'!M110&lt;&gt;9999,'Ballot Entry'!M110, "")</f>
        <v>1693</v>
      </c>
      <c r="D143" s="9">
        <f>IF('Ballot Entry'!N110&lt;&gt;9999,'Ballot Entry'!N110, "")</f>
        <v>1410</v>
      </c>
      <c r="E143" s="9">
        <f>IF('Ballot Entry'!$M110&lt;&gt;9999,'Ballot Entry'!P110,"")</f>
        <v>8</v>
      </c>
      <c r="F143" s="9" t="str">
        <f t="shared" si="90"/>
        <v>P</v>
      </c>
      <c r="G143" s="9">
        <f t="shared" si="87"/>
        <v>8</v>
      </c>
      <c r="H143" s="395" t="e">
        <f t="shared" ref="H143:I143" si="94">H108</f>
        <v>#N/A</v>
      </c>
      <c r="I143" s="395" t="e">
        <f t="shared" si="94"/>
        <v>#N/A</v>
      </c>
      <c r="J143" s="395" t="e">
        <f t="shared" si="93"/>
        <v>#N/A</v>
      </c>
      <c r="K143" s="396" t="e">
        <f t="shared" si="89"/>
        <v>#N/A</v>
      </c>
      <c r="R143" s="396"/>
      <c r="S143" s="396"/>
      <c r="T143" s="396"/>
      <c r="U143" s="396"/>
    </row>
    <row r="144" spans="1:21" x14ac:dyDescent="0.2">
      <c r="A144" s="395">
        <v>2</v>
      </c>
      <c r="B144" s="395">
        <v>2</v>
      </c>
      <c r="C144" s="9">
        <f>IF('Ballot Entry'!M111&lt;&gt;9999,'Ballot Entry'!M111, "")</f>
        <v>1001</v>
      </c>
      <c r="D144" s="9">
        <f>IF('Ballot Entry'!N111&lt;&gt;9999,'Ballot Entry'!N111, "")</f>
        <v>1258</v>
      </c>
      <c r="E144" s="9">
        <f>IF('Ballot Entry'!$M111&lt;&gt;9999,'Ballot Entry'!P111,"")</f>
        <v>12</v>
      </c>
      <c r="F144" s="9" t="str">
        <f t="shared" si="90"/>
        <v>P</v>
      </c>
      <c r="G144" s="9">
        <f t="shared" si="87"/>
        <v>12</v>
      </c>
      <c r="H144" s="395" t="e">
        <f t="shared" ref="H144:I144" si="95">H109</f>
        <v>#N/A</v>
      </c>
      <c r="I144" s="395" t="e">
        <f t="shared" si="95"/>
        <v>#N/A</v>
      </c>
      <c r="J144" s="395" t="e">
        <f t="shared" si="93"/>
        <v>#N/A</v>
      </c>
      <c r="K144" s="396" t="e">
        <f t="shared" si="89"/>
        <v>#N/A</v>
      </c>
    </row>
    <row r="145" spans="1:11" x14ac:dyDescent="0.2">
      <c r="A145" s="395">
        <v>2</v>
      </c>
      <c r="B145" s="395">
        <v>2</v>
      </c>
      <c r="C145" s="9">
        <f>IF('Ballot Entry'!M112&lt;&gt;9999,'Ballot Entry'!M112, "")</f>
        <v>1492</v>
      </c>
      <c r="D145" s="9">
        <f>IF('Ballot Entry'!N112&lt;&gt;9999,'Ballot Entry'!N112, "")</f>
        <v>1557</v>
      </c>
      <c r="E145" s="9">
        <f>IF('Ballot Entry'!$M112&lt;&gt;9999,'Ballot Entry'!P112,"")</f>
        <v>3</v>
      </c>
      <c r="F145" s="9" t="str">
        <f t="shared" si="90"/>
        <v>P</v>
      </c>
      <c r="G145" s="9">
        <f t="shared" si="87"/>
        <v>3</v>
      </c>
      <c r="H145" s="395" t="e">
        <f t="shared" ref="H145:I145" si="96">H110</f>
        <v>#N/A</v>
      </c>
      <c r="I145" s="395" t="e">
        <f t="shared" si="96"/>
        <v>#N/A</v>
      </c>
      <c r="J145" s="395" t="e">
        <f t="shared" si="93"/>
        <v>#N/A</v>
      </c>
      <c r="K145" s="396" t="e">
        <f t="shared" si="89"/>
        <v>#N/A</v>
      </c>
    </row>
    <row r="146" spans="1:11" x14ac:dyDescent="0.2">
      <c r="A146" s="395">
        <v>2</v>
      </c>
      <c r="B146" s="395">
        <v>2</v>
      </c>
      <c r="C146" s="9">
        <f>IF('Ballot Entry'!M113&lt;&gt;9999,'Ballot Entry'!M113, "")</f>
        <v>1224</v>
      </c>
      <c r="D146" s="9">
        <f>IF('Ballot Entry'!N113&lt;&gt;9999,'Ballot Entry'!N113, "")</f>
        <v>1268</v>
      </c>
      <c r="E146" s="9">
        <f>IF('Ballot Entry'!$M113&lt;&gt;9999,'Ballot Entry'!P113,"")</f>
        <v>-11</v>
      </c>
      <c r="F146" s="9" t="str">
        <f t="shared" si="90"/>
        <v>D</v>
      </c>
      <c r="G146" s="9">
        <f t="shared" si="87"/>
        <v>11</v>
      </c>
      <c r="H146" s="395" t="e">
        <f t="shared" ref="H146:I146" si="97">H111</f>
        <v>#N/A</v>
      </c>
      <c r="I146" s="395" t="e">
        <f t="shared" si="97"/>
        <v>#N/A</v>
      </c>
      <c r="J146" s="395" t="e">
        <f t="shared" si="93"/>
        <v>#N/A</v>
      </c>
      <c r="K146" s="396" t="e">
        <f t="shared" si="89"/>
        <v>#N/A</v>
      </c>
    </row>
    <row r="147" spans="1:11" x14ac:dyDescent="0.2">
      <c r="A147" s="395">
        <v>2</v>
      </c>
      <c r="B147" s="395">
        <v>2</v>
      </c>
      <c r="C147" s="9">
        <f>IF('Ballot Entry'!M114&lt;&gt;9999,'Ballot Entry'!M114, "")</f>
        <v>1217</v>
      </c>
      <c r="D147" s="9">
        <f>IF('Ballot Entry'!N114&lt;&gt;9999,'Ballot Entry'!N114, "")</f>
        <v>1029</v>
      </c>
      <c r="E147" s="9">
        <f>IF('Ballot Entry'!$M114&lt;&gt;9999,'Ballot Entry'!P114,"")</f>
        <v>-3</v>
      </c>
      <c r="F147" s="9" t="str">
        <f t="shared" si="90"/>
        <v>D</v>
      </c>
      <c r="G147" s="9">
        <f t="shared" si="87"/>
        <v>3</v>
      </c>
      <c r="H147" s="395" t="e">
        <f t="shared" ref="H147:I147" si="98">H112</f>
        <v>#N/A</v>
      </c>
      <c r="I147" s="395" t="e">
        <f t="shared" si="98"/>
        <v>#N/A</v>
      </c>
      <c r="J147" s="395" t="e">
        <f t="shared" si="93"/>
        <v>#N/A</v>
      </c>
      <c r="K147" s="396" t="e">
        <f t="shared" si="89"/>
        <v>#N/A</v>
      </c>
    </row>
    <row r="148" spans="1:11" x14ac:dyDescent="0.2">
      <c r="A148" s="395">
        <v>2</v>
      </c>
      <c r="B148" s="395">
        <v>2</v>
      </c>
      <c r="C148" s="9">
        <f>IF('Ballot Entry'!M115&lt;&gt;9999,'Ballot Entry'!M115, "")</f>
        <v>1616</v>
      </c>
      <c r="D148" s="9">
        <f>IF('Ballot Entry'!N115&lt;&gt;9999,'Ballot Entry'!N115, "")</f>
        <v>1262</v>
      </c>
      <c r="E148" s="9">
        <f>IF('Ballot Entry'!$M115&lt;&gt;9999,'Ballot Entry'!P115,"")</f>
        <v>0</v>
      </c>
      <c r="F148" s="9" t="str">
        <f t="shared" si="90"/>
        <v>T</v>
      </c>
      <c r="G148" s="9">
        <f t="shared" si="87"/>
        <v>0</v>
      </c>
      <c r="H148" s="395" t="e">
        <f t="shared" ref="H148:I148" si="99">H113</f>
        <v>#N/A</v>
      </c>
      <c r="I148" s="395" t="e">
        <f t="shared" si="99"/>
        <v>#N/A</v>
      </c>
      <c r="J148" s="395" t="e">
        <f t="shared" si="93"/>
        <v>#N/A</v>
      </c>
      <c r="K148" s="396" t="e">
        <f t="shared" si="89"/>
        <v>#N/A</v>
      </c>
    </row>
    <row r="149" spans="1:11" x14ac:dyDescent="0.2">
      <c r="A149" s="395">
        <v>2</v>
      </c>
      <c r="B149" s="395">
        <v>2</v>
      </c>
      <c r="C149" s="9">
        <f>IF('Ballot Entry'!M116&lt;&gt;9999,'Ballot Entry'!M116, "")</f>
        <v>1051</v>
      </c>
      <c r="D149" s="9">
        <f>IF('Ballot Entry'!N116&lt;&gt;9999,'Ballot Entry'!N116, "")</f>
        <v>1577</v>
      </c>
      <c r="E149" s="9">
        <f>IF('Ballot Entry'!$M116&lt;&gt;9999,'Ballot Entry'!P116,"")</f>
        <v>-13</v>
      </c>
      <c r="F149" s="9" t="str">
        <f t="shared" si="90"/>
        <v>D</v>
      </c>
      <c r="G149" s="9">
        <f t="shared" si="87"/>
        <v>13</v>
      </c>
      <c r="H149" s="395" t="e">
        <f t="shared" ref="H149:I149" si="100">H114</f>
        <v>#N/A</v>
      </c>
      <c r="I149" s="395" t="e">
        <f t="shared" si="100"/>
        <v>#N/A</v>
      </c>
      <c r="J149" s="395" t="e">
        <f t="shared" si="93"/>
        <v>#N/A</v>
      </c>
      <c r="K149" s="396" t="e">
        <f t="shared" si="89"/>
        <v>#N/A</v>
      </c>
    </row>
    <row r="150" spans="1:11" x14ac:dyDescent="0.2">
      <c r="A150" s="395">
        <v>2</v>
      </c>
      <c r="B150" s="395">
        <v>2</v>
      </c>
      <c r="C150" s="9">
        <f>IF('Ballot Entry'!M117&lt;&gt;9999,'Ballot Entry'!M117, "")</f>
        <v>1078</v>
      </c>
      <c r="D150" s="9">
        <f>IF('Ballot Entry'!N117&lt;&gt;9999,'Ballot Entry'!N117, "")</f>
        <v>1506</v>
      </c>
      <c r="E150" s="9">
        <f>IF('Ballot Entry'!$M117&lt;&gt;9999,'Ballot Entry'!P117,"")</f>
        <v>3</v>
      </c>
      <c r="F150" s="9" t="str">
        <f t="shared" si="90"/>
        <v>P</v>
      </c>
      <c r="G150" s="9">
        <f t="shared" si="87"/>
        <v>3</v>
      </c>
      <c r="H150" s="395" t="e">
        <f t="shared" ref="H150:I150" si="101">H115</f>
        <v>#N/A</v>
      </c>
      <c r="I150" s="395" t="e">
        <f t="shared" si="101"/>
        <v>#N/A</v>
      </c>
      <c r="J150" s="395" t="e">
        <f t="shared" si="93"/>
        <v>#N/A</v>
      </c>
      <c r="K150" s="396" t="e">
        <f t="shared" ref="K150:K176" si="102">VLOOKUP(J150,DComb,2,FALSE )</f>
        <v>#N/A</v>
      </c>
    </row>
    <row r="151" spans="1:11" x14ac:dyDescent="0.2">
      <c r="A151" s="395">
        <v>2</v>
      </c>
      <c r="B151" s="395">
        <v>2</v>
      </c>
      <c r="C151" s="9" t="str">
        <f>IF('Ballot Entry'!M118&lt;&gt;9999,'Ballot Entry'!M118, "")</f>
        <v/>
      </c>
      <c r="D151" s="9" t="str">
        <f>IF('Ballot Entry'!N118&lt;&gt;9999,'Ballot Entry'!N118, "")</f>
        <v/>
      </c>
      <c r="E151" s="9" t="str">
        <f>IF('Ballot Entry'!$M118&lt;&gt;9999,'Ballot Entry'!P118,"")</f>
        <v/>
      </c>
      <c r="F151" s="9" t="e">
        <f t="shared" si="90"/>
        <v>#N/A</v>
      </c>
      <c r="G151" s="9" t="e">
        <f t="shared" si="87"/>
        <v>#VALUE!</v>
      </c>
      <c r="H151" s="395" t="e">
        <f t="shared" ref="H151:I151" si="103">H116</f>
        <v>#N/A</v>
      </c>
      <c r="I151" s="395" t="e">
        <f t="shared" si="103"/>
        <v>#N/A</v>
      </c>
      <c r="J151" s="395" t="e">
        <f t="shared" si="93"/>
        <v>#N/A</v>
      </c>
      <c r="K151" s="396" t="e">
        <f t="shared" si="102"/>
        <v>#N/A</v>
      </c>
    </row>
    <row r="152" spans="1:11" x14ac:dyDescent="0.2">
      <c r="A152" s="395">
        <v>2</v>
      </c>
      <c r="B152" s="395">
        <v>2</v>
      </c>
      <c r="C152" s="9" t="str">
        <f>IF('Ballot Entry'!M119&lt;&gt;9999,'Ballot Entry'!M119, "")</f>
        <v/>
      </c>
      <c r="D152" s="9" t="str">
        <f>IF('Ballot Entry'!N119&lt;&gt;9999,'Ballot Entry'!N119, "")</f>
        <v/>
      </c>
      <c r="E152" s="9" t="str">
        <f>IF('Ballot Entry'!$M119&lt;&gt;9999,'Ballot Entry'!P119,"")</f>
        <v/>
      </c>
      <c r="F152" s="9" t="e">
        <f t="shared" si="90"/>
        <v>#N/A</v>
      </c>
      <c r="G152" s="9" t="e">
        <f t="shared" si="87"/>
        <v>#VALUE!</v>
      </c>
      <c r="H152" s="395" t="e">
        <f t="shared" ref="H152:I152" si="104">H117</f>
        <v>#N/A</v>
      </c>
      <c r="I152" s="395" t="e">
        <f t="shared" si="104"/>
        <v>#N/A</v>
      </c>
      <c r="J152" s="395" t="e">
        <f t="shared" si="93"/>
        <v>#N/A</v>
      </c>
      <c r="K152" s="396" t="e">
        <f t="shared" si="102"/>
        <v>#N/A</v>
      </c>
    </row>
    <row r="153" spans="1:11" x14ac:dyDescent="0.2">
      <c r="A153" s="395">
        <v>2</v>
      </c>
      <c r="B153" s="395">
        <v>2</v>
      </c>
      <c r="C153" s="9" t="str">
        <f>IF('Ballot Entry'!M120&lt;&gt;9999,'Ballot Entry'!M120, "")</f>
        <v/>
      </c>
      <c r="D153" s="9" t="str">
        <f>IF('Ballot Entry'!N120&lt;&gt;9999,'Ballot Entry'!N120, "")</f>
        <v/>
      </c>
      <c r="E153" s="9" t="str">
        <f>IF('Ballot Entry'!$M120&lt;&gt;9999,'Ballot Entry'!P120,"")</f>
        <v/>
      </c>
      <c r="F153" s="9" t="e">
        <f t="shared" si="90"/>
        <v>#N/A</v>
      </c>
      <c r="G153" s="9" t="e">
        <f t="shared" si="87"/>
        <v>#VALUE!</v>
      </c>
      <c r="H153" s="395" t="e">
        <f t="shared" ref="H153:I153" si="105">H118</f>
        <v>#N/A</v>
      </c>
      <c r="I153" s="395" t="e">
        <f t="shared" si="105"/>
        <v>#N/A</v>
      </c>
      <c r="J153" s="395" t="e">
        <f t="shared" si="93"/>
        <v>#N/A</v>
      </c>
      <c r="K153" s="396" t="e">
        <f t="shared" si="102"/>
        <v>#N/A</v>
      </c>
    </row>
    <row r="154" spans="1:11" x14ac:dyDescent="0.2">
      <c r="A154" s="395">
        <v>2</v>
      </c>
      <c r="B154" s="395">
        <v>2</v>
      </c>
      <c r="C154" s="9" t="str">
        <f>IF('Ballot Entry'!M121&lt;&gt;9999,'Ballot Entry'!M121, "")</f>
        <v/>
      </c>
      <c r="D154" s="9" t="str">
        <f>IF('Ballot Entry'!N121&lt;&gt;9999,'Ballot Entry'!N121, "")</f>
        <v/>
      </c>
      <c r="E154" s="9" t="str">
        <f>IF('Ballot Entry'!$M121&lt;&gt;9999,'Ballot Entry'!P121,"")</f>
        <v/>
      </c>
      <c r="F154" s="9" t="e">
        <f t="shared" si="90"/>
        <v>#N/A</v>
      </c>
      <c r="G154" s="9" t="e">
        <f t="shared" si="87"/>
        <v>#VALUE!</v>
      </c>
      <c r="H154" s="395" t="e">
        <f t="shared" ref="H154:I154" si="106">H119</f>
        <v>#N/A</v>
      </c>
      <c r="I154" s="395" t="e">
        <f t="shared" si="106"/>
        <v>#N/A</v>
      </c>
      <c r="J154" s="395" t="e">
        <f t="shared" si="93"/>
        <v>#N/A</v>
      </c>
      <c r="K154" s="396" t="e">
        <f t="shared" si="102"/>
        <v>#N/A</v>
      </c>
    </row>
    <row r="155" spans="1:11" x14ac:dyDescent="0.2">
      <c r="A155" s="395">
        <v>2</v>
      </c>
      <c r="B155" s="395">
        <v>2</v>
      </c>
      <c r="C155" s="9" t="str">
        <f>IF('Ballot Entry'!M122&lt;&gt;9999,'Ballot Entry'!M122, "")</f>
        <v/>
      </c>
      <c r="D155" s="9" t="str">
        <f>IF('Ballot Entry'!N122&lt;&gt;9999,'Ballot Entry'!N122, "")</f>
        <v/>
      </c>
      <c r="E155" s="9" t="str">
        <f>IF('Ballot Entry'!$M122&lt;&gt;9999,'Ballot Entry'!P122,"")</f>
        <v/>
      </c>
      <c r="F155" s="9" t="e">
        <f t="shared" si="90"/>
        <v>#N/A</v>
      </c>
      <c r="G155" s="9" t="e">
        <f t="shared" si="87"/>
        <v>#VALUE!</v>
      </c>
      <c r="H155" s="395" t="e">
        <f t="shared" ref="H155:I155" si="107">H120</f>
        <v>#N/A</v>
      </c>
      <c r="I155" s="395" t="e">
        <f t="shared" si="107"/>
        <v>#N/A</v>
      </c>
      <c r="J155" s="395" t="e">
        <f t="shared" si="93"/>
        <v>#N/A</v>
      </c>
      <c r="K155" s="396" t="e">
        <f t="shared" si="102"/>
        <v>#N/A</v>
      </c>
    </row>
    <row r="156" spans="1:11" x14ac:dyDescent="0.2">
      <c r="A156" s="395">
        <v>2</v>
      </c>
      <c r="B156" s="395">
        <v>2</v>
      </c>
      <c r="C156" s="9" t="str">
        <f>IF('Ballot Entry'!M123&lt;&gt;9999,'Ballot Entry'!M123, "")</f>
        <v/>
      </c>
      <c r="D156" s="9" t="str">
        <f>IF('Ballot Entry'!N123&lt;&gt;9999,'Ballot Entry'!N123, "")</f>
        <v/>
      </c>
      <c r="E156" s="9" t="str">
        <f>IF('Ballot Entry'!$M123&lt;&gt;9999,'Ballot Entry'!P123,"")</f>
        <v/>
      </c>
      <c r="F156" s="9" t="e">
        <f t="shared" si="90"/>
        <v>#N/A</v>
      </c>
      <c r="G156" s="9" t="e">
        <f t="shared" si="87"/>
        <v>#VALUE!</v>
      </c>
      <c r="H156" s="395" t="e">
        <f t="shared" ref="H156:I156" si="108">H121</f>
        <v>#N/A</v>
      </c>
      <c r="I156" s="395" t="e">
        <f t="shared" si="108"/>
        <v>#N/A</v>
      </c>
      <c r="J156" s="395" t="e">
        <f t="shared" si="93"/>
        <v>#N/A</v>
      </c>
      <c r="K156" s="396" t="e">
        <f t="shared" si="102"/>
        <v>#N/A</v>
      </c>
    </row>
    <row r="157" spans="1:11" x14ac:dyDescent="0.2">
      <c r="A157" s="395">
        <v>2</v>
      </c>
      <c r="B157" s="395">
        <v>2</v>
      </c>
      <c r="C157" s="9" t="str">
        <f>IF('Ballot Entry'!M124&lt;&gt;9999,'Ballot Entry'!M124, "")</f>
        <v/>
      </c>
      <c r="D157" s="9" t="str">
        <f>IF('Ballot Entry'!N124&lt;&gt;9999,'Ballot Entry'!N124, "")</f>
        <v/>
      </c>
      <c r="E157" s="9" t="str">
        <f>IF('Ballot Entry'!$M124&lt;&gt;9999,'Ballot Entry'!P124,"")</f>
        <v/>
      </c>
      <c r="F157" s="9" t="e">
        <f t="shared" si="90"/>
        <v>#N/A</v>
      </c>
      <c r="G157" s="9" t="e">
        <f t="shared" si="87"/>
        <v>#VALUE!</v>
      </c>
      <c r="H157" s="395" t="e">
        <f t="shared" ref="H157:I157" si="109">H122</f>
        <v>#N/A</v>
      </c>
      <c r="I157" s="395" t="e">
        <f t="shared" si="109"/>
        <v>#N/A</v>
      </c>
      <c r="J157" s="395" t="e">
        <f t="shared" si="93"/>
        <v>#N/A</v>
      </c>
      <c r="K157" s="396" t="e">
        <f t="shared" si="102"/>
        <v>#N/A</v>
      </c>
    </row>
    <row r="158" spans="1:11" x14ac:dyDescent="0.2">
      <c r="A158" s="395">
        <v>2</v>
      </c>
      <c r="B158" s="395">
        <v>2</v>
      </c>
      <c r="C158" s="9" t="str">
        <f>IF('Ballot Entry'!M125&lt;&gt;9999,'Ballot Entry'!M125, "")</f>
        <v/>
      </c>
      <c r="D158" s="9" t="str">
        <f>IF('Ballot Entry'!N125&lt;&gt;9999,'Ballot Entry'!N125, "")</f>
        <v/>
      </c>
      <c r="E158" s="9" t="str">
        <f>IF('Ballot Entry'!$M125&lt;&gt;9999,'Ballot Entry'!P125,"")</f>
        <v/>
      </c>
      <c r="F158" s="9" t="e">
        <f t="shared" si="90"/>
        <v>#N/A</v>
      </c>
      <c r="G158" s="9" t="e">
        <f t="shared" si="87"/>
        <v>#VALUE!</v>
      </c>
      <c r="H158" s="395" t="e">
        <f t="shared" ref="H158:I158" si="110">H123</f>
        <v>#N/A</v>
      </c>
      <c r="I158" s="395" t="e">
        <f t="shared" si="110"/>
        <v>#N/A</v>
      </c>
      <c r="J158" s="395" t="e">
        <f t="shared" si="93"/>
        <v>#N/A</v>
      </c>
      <c r="K158" s="396" t="e">
        <f t="shared" si="102"/>
        <v>#N/A</v>
      </c>
    </row>
    <row r="159" spans="1:11" x14ac:dyDescent="0.2">
      <c r="A159" s="395">
        <v>2</v>
      </c>
      <c r="B159" s="395">
        <v>2</v>
      </c>
      <c r="C159" s="9" t="str">
        <f>IF('Ballot Entry'!M126&lt;&gt;9999,'Ballot Entry'!M126, "")</f>
        <v/>
      </c>
      <c r="D159" s="9" t="str">
        <f>IF('Ballot Entry'!N126&lt;&gt;9999,'Ballot Entry'!N126, "")</f>
        <v/>
      </c>
      <c r="E159" s="9" t="str">
        <f>IF('Ballot Entry'!$M126&lt;&gt;9999,'Ballot Entry'!P126,"")</f>
        <v/>
      </c>
      <c r="F159" s="9" t="e">
        <f t="shared" si="90"/>
        <v>#N/A</v>
      </c>
      <c r="G159" s="9" t="e">
        <f t="shared" si="87"/>
        <v>#VALUE!</v>
      </c>
      <c r="H159" s="395" t="e">
        <f t="shared" ref="H159:I159" si="111">H124</f>
        <v>#N/A</v>
      </c>
      <c r="I159" s="395" t="e">
        <f t="shared" si="111"/>
        <v>#N/A</v>
      </c>
      <c r="J159" s="395" t="e">
        <f t="shared" si="93"/>
        <v>#N/A</v>
      </c>
      <c r="K159" s="396" t="e">
        <f t="shared" si="102"/>
        <v>#N/A</v>
      </c>
    </row>
    <row r="160" spans="1:11" x14ac:dyDescent="0.2">
      <c r="A160" s="395">
        <v>2</v>
      </c>
      <c r="B160" s="395">
        <v>2</v>
      </c>
      <c r="C160" s="9" t="str">
        <f>IF('Ballot Entry'!M127&lt;&gt;9999,'Ballot Entry'!M127, "")</f>
        <v/>
      </c>
      <c r="D160" s="9" t="str">
        <f>IF('Ballot Entry'!N127&lt;&gt;9999,'Ballot Entry'!N127, "")</f>
        <v/>
      </c>
      <c r="E160" s="9" t="str">
        <f>IF('Ballot Entry'!$M127&lt;&gt;9999,'Ballot Entry'!P127,"")</f>
        <v/>
      </c>
      <c r="F160" s="9" t="e">
        <f t="shared" si="90"/>
        <v>#N/A</v>
      </c>
      <c r="G160" s="9" t="e">
        <f t="shared" si="87"/>
        <v>#VALUE!</v>
      </c>
      <c r="H160" s="395" t="e">
        <f t="shared" ref="H160:I160" si="112">H125</f>
        <v>#N/A</v>
      </c>
      <c r="I160" s="395" t="e">
        <f t="shared" si="112"/>
        <v>#N/A</v>
      </c>
      <c r="J160" s="395" t="e">
        <f t="shared" si="93"/>
        <v>#N/A</v>
      </c>
      <c r="K160" s="396" t="e">
        <f t="shared" si="102"/>
        <v>#N/A</v>
      </c>
    </row>
    <row r="161" spans="1:11" x14ac:dyDescent="0.2">
      <c r="A161" s="395">
        <v>2</v>
      </c>
      <c r="B161" s="395">
        <v>2</v>
      </c>
      <c r="C161" s="9" t="str">
        <f>IF('Ballot Entry'!M128&lt;&gt;9999,'Ballot Entry'!M128, "")</f>
        <v/>
      </c>
      <c r="D161" s="9" t="str">
        <f>IF('Ballot Entry'!N128&lt;&gt;9999,'Ballot Entry'!N128, "")</f>
        <v/>
      </c>
      <c r="E161" s="9" t="str">
        <f>IF('Ballot Entry'!$M128&lt;&gt;9999,'Ballot Entry'!P128,"")</f>
        <v/>
      </c>
      <c r="F161" s="9" t="e">
        <f t="shared" si="90"/>
        <v>#N/A</v>
      </c>
      <c r="G161" s="9" t="e">
        <f t="shared" si="87"/>
        <v>#VALUE!</v>
      </c>
      <c r="H161" s="395" t="e">
        <f t="shared" ref="H161:I161" si="113">H126</f>
        <v>#N/A</v>
      </c>
      <c r="I161" s="395" t="e">
        <f t="shared" si="113"/>
        <v>#N/A</v>
      </c>
      <c r="J161" s="395" t="e">
        <f t="shared" si="93"/>
        <v>#N/A</v>
      </c>
      <c r="K161" s="396" t="e">
        <f t="shared" si="102"/>
        <v>#N/A</v>
      </c>
    </row>
    <row r="162" spans="1:11" x14ac:dyDescent="0.2">
      <c r="A162" s="395">
        <v>2</v>
      </c>
      <c r="B162" s="395">
        <v>2</v>
      </c>
      <c r="C162" s="9" t="str">
        <f>IF('Ballot Entry'!M129&lt;&gt;9999,'Ballot Entry'!M129, "")</f>
        <v/>
      </c>
      <c r="D162" s="9" t="str">
        <f>IF('Ballot Entry'!N129&lt;&gt;9999,'Ballot Entry'!N129, "")</f>
        <v/>
      </c>
      <c r="E162" s="9" t="str">
        <f>IF('Ballot Entry'!$M129&lt;&gt;9999,'Ballot Entry'!P129,"")</f>
        <v/>
      </c>
      <c r="F162" s="9" t="e">
        <f t="shared" ref="F162:F176" si="114">IF(E162="",NA(),IF(E162&gt;0, "P", IF(E162&lt;0,"D", "T")))</f>
        <v>#N/A</v>
      </c>
      <c r="G162" s="9" t="e">
        <f t="shared" ref="G162:G176" si="115">ABS(E162)</f>
        <v>#VALUE!</v>
      </c>
      <c r="H162" s="395" t="e">
        <f t="shared" ref="H162:I162" si="116">H127</f>
        <v>#N/A</v>
      </c>
      <c r="I162" s="395" t="e">
        <f t="shared" si="116"/>
        <v>#N/A</v>
      </c>
      <c r="J162" s="395" t="e">
        <f t="shared" si="93"/>
        <v>#N/A</v>
      </c>
      <c r="K162" s="396" t="e">
        <f t="shared" si="102"/>
        <v>#N/A</v>
      </c>
    </row>
    <row r="163" spans="1:11" x14ac:dyDescent="0.2">
      <c r="A163" s="395">
        <v>2</v>
      </c>
      <c r="B163" s="395">
        <v>2</v>
      </c>
      <c r="C163" s="9" t="str">
        <f>IF('Ballot Entry'!M130&lt;&gt;9999,'Ballot Entry'!M130, "")</f>
        <v/>
      </c>
      <c r="D163" s="9" t="str">
        <f>IF('Ballot Entry'!N130&lt;&gt;9999,'Ballot Entry'!N130, "")</f>
        <v/>
      </c>
      <c r="E163" s="9" t="str">
        <f>IF('Ballot Entry'!$M130&lt;&gt;9999,'Ballot Entry'!P130,"")</f>
        <v/>
      </c>
      <c r="F163" s="9" t="e">
        <f t="shared" si="114"/>
        <v>#N/A</v>
      </c>
      <c r="G163" s="9" t="e">
        <f t="shared" si="115"/>
        <v>#VALUE!</v>
      </c>
      <c r="H163" s="395" t="e">
        <f t="shared" ref="H163:I163" si="117">H128</f>
        <v>#N/A</v>
      </c>
      <c r="I163" s="395" t="e">
        <f t="shared" si="117"/>
        <v>#N/A</v>
      </c>
      <c r="J163" s="395" t="e">
        <f t="shared" si="93"/>
        <v>#N/A</v>
      </c>
      <c r="K163" s="396" t="e">
        <f t="shared" si="102"/>
        <v>#N/A</v>
      </c>
    </row>
    <row r="164" spans="1:11" x14ac:dyDescent="0.2">
      <c r="A164" s="395">
        <v>2</v>
      </c>
      <c r="B164" s="395">
        <v>2</v>
      </c>
      <c r="C164" s="9" t="str">
        <f>IF('Ballot Entry'!M131&lt;&gt;9999,'Ballot Entry'!M131, "")</f>
        <v/>
      </c>
      <c r="D164" s="9" t="str">
        <f>IF('Ballot Entry'!N131&lt;&gt;9999,'Ballot Entry'!N131, "")</f>
        <v/>
      </c>
      <c r="E164" s="9" t="str">
        <f>IF('Ballot Entry'!$M131&lt;&gt;9999,'Ballot Entry'!P131,"")</f>
        <v/>
      </c>
      <c r="F164" s="9" t="e">
        <f t="shared" si="114"/>
        <v>#N/A</v>
      </c>
      <c r="G164" s="9" t="e">
        <f t="shared" si="115"/>
        <v>#VALUE!</v>
      </c>
      <c r="H164" s="395" t="e">
        <f t="shared" ref="H164:I164" si="118">H129</f>
        <v>#N/A</v>
      </c>
      <c r="I164" s="395" t="e">
        <f t="shared" si="118"/>
        <v>#N/A</v>
      </c>
      <c r="J164" s="395" t="e">
        <f t="shared" si="93"/>
        <v>#N/A</v>
      </c>
      <c r="K164" s="396" t="e">
        <f t="shared" si="102"/>
        <v>#N/A</v>
      </c>
    </row>
    <row r="165" spans="1:11" x14ac:dyDescent="0.2">
      <c r="A165" s="395">
        <v>2</v>
      </c>
      <c r="B165" s="395">
        <v>2</v>
      </c>
      <c r="C165" s="9" t="str">
        <f>IF('Ballot Entry'!M132&lt;&gt;9999,'Ballot Entry'!M132, "")</f>
        <v/>
      </c>
      <c r="D165" s="9" t="str">
        <f>IF('Ballot Entry'!N132&lt;&gt;9999,'Ballot Entry'!N132, "")</f>
        <v/>
      </c>
      <c r="E165" s="9" t="str">
        <f>IF('Ballot Entry'!$M132&lt;&gt;9999,'Ballot Entry'!P132,"")</f>
        <v/>
      </c>
      <c r="F165" s="9" t="e">
        <f t="shared" si="114"/>
        <v>#N/A</v>
      </c>
      <c r="G165" s="9" t="e">
        <f t="shared" si="115"/>
        <v>#VALUE!</v>
      </c>
      <c r="H165" s="395" t="e">
        <f t="shared" ref="H165:I165" si="119">H130</f>
        <v>#N/A</v>
      </c>
      <c r="I165" s="395" t="e">
        <f t="shared" si="119"/>
        <v>#N/A</v>
      </c>
      <c r="J165" s="395" t="e">
        <f t="shared" si="93"/>
        <v>#N/A</v>
      </c>
      <c r="K165" s="396" t="e">
        <f t="shared" si="102"/>
        <v>#N/A</v>
      </c>
    </row>
    <row r="166" spans="1:11" x14ac:dyDescent="0.2">
      <c r="A166" s="395">
        <v>2</v>
      </c>
      <c r="B166" s="395">
        <v>2</v>
      </c>
      <c r="C166" s="9" t="str">
        <f>IF('Ballot Entry'!M133&lt;&gt;9999,'Ballot Entry'!M133, "")</f>
        <v/>
      </c>
      <c r="D166" s="9" t="str">
        <f>IF('Ballot Entry'!N133&lt;&gt;9999,'Ballot Entry'!N133, "")</f>
        <v/>
      </c>
      <c r="E166" s="9" t="str">
        <f>IF('Ballot Entry'!$M133&lt;&gt;9999,'Ballot Entry'!P133,"")</f>
        <v/>
      </c>
      <c r="F166" s="9" t="e">
        <f t="shared" si="114"/>
        <v>#N/A</v>
      </c>
      <c r="G166" s="9" t="e">
        <f t="shared" si="115"/>
        <v>#VALUE!</v>
      </c>
      <c r="H166" s="395" t="e">
        <f t="shared" ref="H166:I166" si="120">H131</f>
        <v>#N/A</v>
      </c>
      <c r="I166" s="395" t="e">
        <f t="shared" si="120"/>
        <v>#N/A</v>
      </c>
      <c r="J166" s="395" t="e">
        <f t="shared" si="93"/>
        <v>#N/A</v>
      </c>
      <c r="K166" s="396" t="e">
        <f t="shared" si="102"/>
        <v>#N/A</v>
      </c>
    </row>
    <row r="167" spans="1:11" x14ac:dyDescent="0.2">
      <c r="A167" s="395">
        <v>2</v>
      </c>
      <c r="B167" s="395">
        <v>2</v>
      </c>
      <c r="C167" s="9" t="str">
        <f>IF('Ballot Entry'!M134&lt;&gt;9999,'Ballot Entry'!M134, "")</f>
        <v/>
      </c>
      <c r="D167" s="9" t="str">
        <f>IF('Ballot Entry'!N134&lt;&gt;9999,'Ballot Entry'!N134, "")</f>
        <v/>
      </c>
      <c r="E167" s="9" t="str">
        <f>IF('Ballot Entry'!$M134&lt;&gt;9999,'Ballot Entry'!P134,"")</f>
        <v/>
      </c>
      <c r="F167" s="9" t="e">
        <f t="shared" si="114"/>
        <v>#N/A</v>
      </c>
      <c r="G167" s="9" t="e">
        <f t="shared" si="115"/>
        <v>#VALUE!</v>
      </c>
      <c r="H167" s="395" t="e">
        <f t="shared" ref="H167:I167" si="121">H132</f>
        <v>#N/A</v>
      </c>
      <c r="I167" s="395" t="e">
        <f t="shared" si="121"/>
        <v>#N/A</v>
      </c>
      <c r="J167" s="395" t="e">
        <f t="shared" si="93"/>
        <v>#N/A</v>
      </c>
      <c r="K167" s="396" t="e">
        <f t="shared" si="102"/>
        <v>#N/A</v>
      </c>
    </row>
    <row r="168" spans="1:11" x14ac:dyDescent="0.2">
      <c r="A168" s="395">
        <v>2</v>
      </c>
      <c r="B168" s="395">
        <v>2</v>
      </c>
      <c r="C168" s="9" t="str">
        <f>IF('Ballot Entry'!M135&lt;&gt;9999,'Ballot Entry'!M135, "")</f>
        <v/>
      </c>
      <c r="D168" s="9" t="str">
        <f>IF('Ballot Entry'!N135&lt;&gt;9999,'Ballot Entry'!N135, "")</f>
        <v/>
      </c>
      <c r="E168" s="9" t="str">
        <f>IF('Ballot Entry'!$M135&lt;&gt;9999,'Ballot Entry'!P135,"")</f>
        <v/>
      </c>
      <c r="F168" s="9" t="e">
        <f t="shared" si="114"/>
        <v>#N/A</v>
      </c>
      <c r="G168" s="9" t="e">
        <f t="shared" si="115"/>
        <v>#VALUE!</v>
      </c>
      <c r="H168" s="395" t="e">
        <f t="shared" ref="H168:I168" si="122">H133</f>
        <v>#N/A</v>
      </c>
      <c r="I168" s="395" t="e">
        <f t="shared" si="122"/>
        <v>#N/A</v>
      </c>
      <c r="J168" s="395" t="e">
        <f t="shared" si="93"/>
        <v>#N/A</v>
      </c>
      <c r="K168" s="396" t="e">
        <f t="shared" si="102"/>
        <v>#N/A</v>
      </c>
    </row>
    <row r="169" spans="1:11" x14ac:dyDescent="0.2">
      <c r="A169" s="395">
        <v>2</v>
      </c>
      <c r="B169" s="395">
        <v>2</v>
      </c>
      <c r="C169" s="9" t="str">
        <f>IF('Ballot Entry'!M136&lt;&gt;9999,'Ballot Entry'!M136, "")</f>
        <v/>
      </c>
      <c r="D169" s="9" t="str">
        <f>IF('Ballot Entry'!N136&lt;&gt;9999,'Ballot Entry'!N136, "")</f>
        <v/>
      </c>
      <c r="E169" s="9" t="str">
        <f>IF('Ballot Entry'!$M136&lt;&gt;9999,'Ballot Entry'!P136,"")</f>
        <v/>
      </c>
      <c r="F169" s="9" t="e">
        <f t="shared" si="114"/>
        <v>#N/A</v>
      </c>
      <c r="G169" s="9" t="e">
        <f t="shared" si="115"/>
        <v>#VALUE!</v>
      </c>
      <c r="H169" s="395" t="e">
        <f t="shared" ref="H169:I169" si="123">H134</f>
        <v>#N/A</v>
      </c>
      <c r="I169" s="395" t="e">
        <f t="shared" si="123"/>
        <v>#N/A</v>
      </c>
      <c r="J169" s="395" t="e">
        <f t="shared" si="93"/>
        <v>#N/A</v>
      </c>
      <c r="K169" s="396" t="e">
        <f t="shared" si="102"/>
        <v>#N/A</v>
      </c>
    </row>
    <row r="170" spans="1:11" x14ac:dyDescent="0.2">
      <c r="A170" s="395">
        <v>2</v>
      </c>
      <c r="B170" s="395">
        <v>2</v>
      </c>
      <c r="C170" s="9" t="str">
        <f>IF('Ballot Entry'!M137&lt;&gt;9999,'Ballot Entry'!M137, "")</f>
        <v/>
      </c>
      <c r="D170" s="9" t="str">
        <f>IF('Ballot Entry'!N137&lt;&gt;9999,'Ballot Entry'!N137, "")</f>
        <v/>
      </c>
      <c r="E170" s="9" t="str">
        <f>IF('Ballot Entry'!$M137&lt;&gt;9999,'Ballot Entry'!P137,"")</f>
        <v/>
      </c>
      <c r="F170" s="9" t="e">
        <f t="shared" si="114"/>
        <v>#N/A</v>
      </c>
      <c r="G170" s="9" t="e">
        <f t="shared" si="115"/>
        <v>#VALUE!</v>
      </c>
      <c r="H170" s="395" t="e">
        <f t="shared" ref="H170:I170" si="124">H135</f>
        <v>#N/A</v>
      </c>
      <c r="I170" s="395" t="e">
        <f t="shared" si="124"/>
        <v>#N/A</v>
      </c>
      <c r="J170" s="395" t="e">
        <f t="shared" si="93"/>
        <v>#N/A</v>
      </c>
      <c r="K170" s="396" t="e">
        <f t="shared" si="102"/>
        <v>#N/A</v>
      </c>
    </row>
    <row r="171" spans="1:11" x14ac:dyDescent="0.2">
      <c r="A171" s="395">
        <v>2</v>
      </c>
      <c r="B171" s="395">
        <v>2</v>
      </c>
      <c r="C171" s="9" t="str">
        <f>IF('Ballot Entry'!M138&lt;&gt;9999,'Ballot Entry'!M138, "")</f>
        <v/>
      </c>
      <c r="D171" s="9" t="str">
        <f>IF('Ballot Entry'!N138&lt;&gt;9999,'Ballot Entry'!N138, "")</f>
        <v/>
      </c>
      <c r="E171" s="9" t="str">
        <f>IF('Ballot Entry'!$M138&lt;&gt;9999,'Ballot Entry'!P138,"")</f>
        <v/>
      </c>
      <c r="F171" s="9" t="e">
        <f t="shared" si="114"/>
        <v>#N/A</v>
      </c>
      <c r="G171" s="9" t="e">
        <f t="shared" si="115"/>
        <v>#VALUE!</v>
      </c>
      <c r="H171" s="395" t="e">
        <f t="shared" ref="H171:I171" si="125">H136</f>
        <v>#N/A</v>
      </c>
      <c r="I171" s="395" t="e">
        <f t="shared" si="125"/>
        <v>#N/A</v>
      </c>
      <c r="J171" s="395" t="e">
        <f t="shared" si="93"/>
        <v>#N/A</v>
      </c>
      <c r="K171" s="396" t="e">
        <f t="shared" si="102"/>
        <v>#N/A</v>
      </c>
    </row>
    <row r="172" spans="1:11" x14ac:dyDescent="0.2">
      <c r="A172" s="395">
        <v>2</v>
      </c>
      <c r="B172" s="395">
        <v>2</v>
      </c>
      <c r="C172" s="9" t="str">
        <f>IF('Ballot Entry'!M139&lt;&gt;9999,'Ballot Entry'!M139, "")</f>
        <v/>
      </c>
      <c r="D172" s="9" t="str">
        <f>IF('Ballot Entry'!N139&lt;&gt;9999,'Ballot Entry'!N139, "")</f>
        <v/>
      </c>
      <c r="E172" s="9" t="str">
        <f>IF('Ballot Entry'!$M139&lt;&gt;9999,'Ballot Entry'!P139,"")</f>
        <v/>
      </c>
      <c r="F172" s="9" t="e">
        <f t="shared" si="114"/>
        <v>#N/A</v>
      </c>
      <c r="G172" s="9" t="e">
        <f t="shared" si="115"/>
        <v>#VALUE!</v>
      </c>
      <c r="H172" s="395" t="e">
        <f t="shared" ref="H172:I172" si="126">H137</f>
        <v>#N/A</v>
      </c>
      <c r="I172" s="395" t="e">
        <f t="shared" si="126"/>
        <v>#N/A</v>
      </c>
      <c r="J172" s="395" t="e">
        <f t="shared" si="93"/>
        <v>#N/A</v>
      </c>
      <c r="K172" s="396" t="e">
        <f t="shared" si="102"/>
        <v>#N/A</v>
      </c>
    </row>
    <row r="173" spans="1:11" x14ac:dyDescent="0.2">
      <c r="A173" s="395">
        <v>2</v>
      </c>
      <c r="B173" s="395">
        <v>2</v>
      </c>
      <c r="C173" s="9" t="str">
        <f>IF('Ballot Entry'!M140&lt;&gt;9999,'Ballot Entry'!M140, "")</f>
        <v/>
      </c>
      <c r="D173" s="9" t="str">
        <f>IF('Ballot Entry'!N140&lt;&gt;9999,'Ballot Entry'!N140, "")</f>
        <v/>
      </c>
      <c r="E173" s="9" t="str">
        <f>IF('Ballot Entry'!$M140&lt;&gt;9999,'Ballot Entry'!P140,"")</f>
        <v/>
      </c>
      <c r="F173" s="9" t="e">
        <f t="shared" si="114"/>
        <v>#N/A</v>
      </c>
      <c r="G173" s="9" t="e">
        <f t="shared" si="115"/>
        <v>#VALUE!</v>
      </c>
      <c r="H173" s="395" t="e">
        <f t="shared" ref="H173:I173" si="127">H138</f>
        <v>#N/A</v>
      </c>
      <c r="I173" s="395" t="e">
        <f t="shared" si="127"/>
        <v>#N/A</v>
      </c>
      <c r="J173" s="395" t="e">
        <f t="shared" si="93"/>
        <v>#N/A</v>
      </c>
      <c r="K173" s="396" t="e">
        <f t="shared" si="102"/>
        <v>#N/A</v>
      </c>
    </row>
    <row r="174" spans="1:11" x14ac:dyDescent="0.2">
      <c r="A174" s="395">
        <v>2</v>
      </c>
      <c r="B174" s="395">
        <v>2</v>
      </c>
      <c r="C174" s="9" t="str">
        <f>IF('Ballot Entry'!M141&lt;&gt;9999,'Ballot Entry'!M141, "")</f>
        <v/>
      </c>
      <c r="D174" s="9" t="str">
        <f>IF('Ballot Entry'!N141&lt;&gt;9999,'Ballot Entry'!N141, "")</f>
        <v/>
      </c>
      <c r="E174" s="9" t="str">
        <f>IF('Ballot Entry'!$M141&lt;&gt;9999,'Ballot Entry'!P141,"")</f>
        <v/>
      </c>
      <c r="F174" s="9" t="e">
        <f t="shared" si="114"/>
        <v>#N/A</v>
      </c>
      <c r="G174" s="9" t="e">
        <f t="shared" si="115"/>
        <v>#VALUE!</v>
      </c>
      <c r="H174" s="395" t="e">
        <f t="shared" ref="H174:I174" si="128">H139</f>
        <v>#N/A</v>
      </c>
      <c r="I174" s="395" t="e">
        <f t="shared" si="128"/>
        <v>#N/A</v>
      </c>
      <c r="J174" s="395" t="e">
        <f t="shared" si="93"/>
        <v>#N/A</v>
      </c>
      <c r="K174" s="396" t="e">
        <f t="shared" si="102"/>
        <v>#N/A</v>
      </c>
    </row>
    <row r="175" spans="1:11" x14ac:dyDescent="0.2">
      <c r="A175" s="395">
        <v>2</v>
      </c>
      <c r="B175" s="395">
        <v>2</v>
      </c>
      <c r="C175" s="9" t="str">
        <f>IF('Ballot Entry'!M142&lt;&gt;9999,'Ballot Entry'!M142, "")</f>
        <v/>
      </c>
      <c r="D175" s="9" t="str">
        <f>IF('Ballot Entry'!N142&lt;&gt;9999,'Ballot Entry'!N142, "")</f>
        <v/>
      </c>
      <c r="E175" s="9" t="str">
        <f>IF('Ballot Entry'!$M142&lt;&gt;9999,'Ballot Entry'!P142,"")</f>
        <v/>
      </c>
      <c r="F175" s="9" t="e">
        <f t="shared" si="114"/>
        <v>#N/A</v>
      </c>
      <c r="G175" s="9" t="e">
        <f t="shared" si="115"/>
        <v>#VALUE!</v>
      </c>
      <c r="H175" s="395" t="e">
        <f t="shared" ref="H175:I175" si="129">H140</f>
        <v>#N/A</v>
      </c>
      <c r="I175" s="395" t="e">
        <f t="shared" si="129"/>
        <v>#N/A</v>
      </c>
      <c r="J175" s="395" t="e">
        <f t="shared" si="93"/>
        <v>#N/A</v>
      </c>
      <c r="K175" s="396" t="e">
        <f t="shared" si="102"/>
        <v>#N/A</v>
      </c>
    </row>
    <row r="176" spans="1:11" x14ac:dyDescent="0.2">
      <c r="A176" s="395">
        <v>2</v>
      </c>
      <c r="B176" s="395">
        <v>2</v>
      </c>
      <c r="C176" s="9" t="str">
        <f>IF('Ballot Entry'!M143&lt;&gt;9999,'Ballot Entry'!M143, "")</f>
        <v/>
      </c>
      <c r="D176" s="9" t="str">
        <f>IF('Ballot Entry'!N143&lt;&gt;9999,'Ballot Entry'!N143, "")</f>
        <v/>
      </c>
      <c r="E176" s="9" t="str">
        <f>IF('Ballot Entry'!$M143&lt;&gt;9999,'Ballot Entry'!P143,"")</f>
        <v/>
      </c>
      <c r="F176" s="9" t="e">
        <f t="shared" si="114"/>
        <v>#N/A</v>
      </c>
      <c r="G176" s="9" t="e">
        <f t="shared" si="115"/>
        <v>#VALUE!</v>
      </c>
      <c r="H176" s="395" t="e">
        <f t="shared" ref="H176:I176" si="130">H141</f>
        <v>#N/A</v>
      </c>
      <c r="I176" s="395" t="e">
        <f t="shared" si="130"/>
        <v>#N/A</v>
      </c>
      <c r="J176" s="395" t="e">
        <f t="shared" si="93"/>
        <v>#N/A</v>
      </c>
      <c r="K176" s="396" t="e">
        <f t="shared" si="102"/>
        <v>#N/A</v>
      </c>
    </row>
    <row r="177" spans="1:11" x14ac:dyDescent="0.2">
      <c r="A177" s="395">
        <v>2</v>
      </c>
      <c r="B177" s="395">
        <v>3</v>
      </c>
      <c r="C177" s="9">
        <f>IF('Ballot Entry'!M109&lt;&gt;9999,'Ballot Entry'!M109, "")</f>
        <v>1517</v>
      </c>
      <c r="D177" s="9">
        <f>IF('Ballot Entry'!N109&lt;&gt;9999,'Ballot Entry'!N109, "")</f>
        <v>1489</v>
      </c>
      <c r="E177" s="9">
        <f>IF('Ballot Entry'!$M109&lt;&gt;9999,'Ballot Entry'!Q109,"")</f>
        <v>0</v>
      </c>
      <c r="F177" s="9" t="str">
        <f t="shared" si="90"/>
        <v>T</v>
      </c>
      <c r="G177" s="9">
        <f t="shared" si="87"/>
        <v>0</v>
      </c>
      <c r="H177" s="395" t="e">
        <f>H142</f>
        <v>#N/A</v>
      </c>
      <c r="I177" s="395" t="e">
        <f t="shared" ref="I177" si="131">I142</f>
        <v>#N/A</v>
      </c>
      <c r="J177" s="395" t="e">
        <f t="shared" si="93"/>
        <v>#N/A</v>
      </c>
      <c r="K177" s="395" t="e">
        <f t="shared" si="93"/>
        <v>#N/A</v>
      </c>
    </row>
    <row r="178" spans="1:11" x14ac:dyDescent="0.2">
      <c r="A178" s="395">
        <v>2</v>
      </c>
      <c r="B178" s="395">
        <v>3</v>
      </c>
      <c r="C178" s="9">
        <f>IF('Ballot Entry'!M110&lt;&gt;9999,'Ballot Entry'!M110, "")</f>
        <v>1693</v>
      </c>
      <c r="D178" s="9">
        <f>IF('Ballot Entry'!N110&lt;&gt;9999,'Ballot Entry'!N110, "")</f>
        <v>1410</v>
      </c>
      <c r="E178" s="9">
        <f>IF('Ballot Entry'!$M110&lt;&gt;9999,'Ballot Entry'!Q110,"")</f>
        <v>0</v>
      </c>
      <c r="F178" s="9" t="str">
        <f t="shared" si="90"/>
        <v>T</v>
      </c>
      <c r="G178" s="9">
        <f t="shared" si="87"/>
        <v>0</v>
      </c>
      <c r="H178" s="395" t="e">
        <f t="shared" ref="H178:K178" si="132">H143</f>
        <v>#N/A</v>
      </c>
      <c r="I178" s="395" t="e">
        <f t="shared" si="132"/>
        <v>#N/A</v>
      </c>
      <c r="J178" s="395" t="e">
        <f t="shared" si="132"/>
        <v>#N/A</v>
      </c>
      <c r="K178" s="395" t="e">
        <f t="shared" si="132"/>
        <v>#N/A</v>
      </c>
    </row>
    <row r="179" spans="1:11" x14ac:dyDescent="0.2">
      <c r="A179" s="395">
        <v>2</v>
      </c>
      <c r="B179" s="395">
        <v>3</v>
      </c>
      <c r="C179" s="9">
        <f>IF('Ballot Entry'!M111&lt;&gt;9999,'Ballot Entry'!M111, "")</f>
        <v>1001</v>
      </c>
      <c r="D179" s="9">
        <f>IF('Ballot Entry'!N111&lt;&gt;9999,'Ballot Entry'!N111, "")</f>
        <v>1258</v>
      </c>
      <c r="E179" s="9">
        <f>IF('Ballot Entry'!$M111&lt;&gt;9999,'Ballot Entry'!Q111,"")</f>
        <v>0</v>
      </c>
      <c r="F179" s="9" t="str">
        <f t="shared" si="90"/>
        <v>T</v>
      </c>
      <c r="G179" s="9">
        <f t="shared" si="87"/>
        <v>0</v>
      </c>
      <c r="H179" s="395" t="e">
        <f t="shared" ref="H179:K179" si="133">H144</f>
        <v>#N/A</v>
      </c>
      <c r="I179" s="395" t="e">
        <f t="shared" si="133"/>
        <v>#N/A</v>
      </c>
      <c r="J179" s="395" t="e">
        <f t="shared" si="133"/>
        <v>#N/A</v>
      </c>
      <c r="K179" s="395" t="e">
        <f t="shared" si="133"/>
        <v>#N/A</v>
      </c>
    </row>
    <row r="180" spans="1:11" x14ac:dyDescent="0.2">
      <c r="A180" s="395">
        <v>2</v>
      </c>
      <c r="B180" s="395">
        <v>3</v>
      </c>
      <c r="C180" s="9">
        <f>IF('Ballot Entry'!M112&lt;&gt;9999,'Ballot Entry'!M112, "")</f>
        <v>1492</v>
      </c>
      <c r="D180" s="9">
        <f>IF('Ballot Entry'!N112&lt;&gt;9999,'Ballot Entry'!N112, "")</f>
        <v>1557</v>
      </c>
      <c r="E180" s="9">
        <f>IF('Ballot Entry'!$M112&lt;&gt;9999,'Ballot Entry'!Q112,"")</f>
        <v>0</v>
      </c>
      <c r="F180" s="9" t="str">
        <f t="shared" si="90"/>
        <v>T</v>
      </c>
      <c r="G180" s="9">
        <f t="shared" si="87"/>
        <v>0</v>
      </c>
      <c r="H180" s="395" t="e">
        <f t="shared" ref="H180:K180" si="134">H145</f>
        <v>#N/A</v>
      </c>
      <c r="I180" s="395" t="e">
        <f t="shared" si="134"/>
        <v>#N/A</v>
      </c>
      <c r="J180" s="395" t="e">
        <f t="shared" si="134"/>
        <v>#N/A</v>
      </c>
      <c r="K180" s="395" t="e">
        <f t="shared" si="134"/>
        <v>#N/A</v>
      </c>
    </row>
    <row r="181" spans="1:11" x14ac:dyDescent="0.2">
      <c r="A181" s="395">
        <v>2</v>
      </c>
      <c r="B181" s="395">
        <v>3</v>
      </c>
      <c r="C181" s="9">
        <f>IF('Ballot Entry'!M113&lt;&gt;9999,'Ballot Entry'!M113, "")</f>
        <v>1224</v>
      </c>
      <c r="D181" s="9">
        <f>IF('Ballot Entry'!N113&lt;&gt;9999,'Ballot Entry'!N113, "")</f>
        <v>1268</v>
      </c>
      <c r="E181" s="9">
        <f>IF('Ballot Entry'!$M113&lt;&gt;9999,'Ballot Entry'!Q113,"")</f>
        <v>0</v>
      </c>
      <c r="F181" s="9" t="str">
        <f t="shared" si="90"/>
        <v>T</v>
      </c>
      <c r="G181" s="9">
        <f t="shared" si="87"/>
        <v>0</v>
      </c>
      <c r="H181" s="395" t="e">
        <f t="shared" ref="H181:K181" si="135">H146</f>
        <v>#N/A</v>
      </c>
      <c r="I181" s="395" t="e">
        <f t="shared" si="135"/>
        <v>#N/A</v>
      </c>
      <c r="J181" s="395" t="e">
        <f t="shared" si="135"/>
        <v>#N/A</v>
      </c>
      <c r="K181" s="395" t="e">
        <f t="shared" si="135"/>
        <v>#N/A</v>
      </c>
    </row>
    <row r="182" spans="1:11" x14ac:dyDescent="0.2">
      <c r="A182" s="395">
        <v>2</v>
      </c>
      <c r="B182" s="395">
        <v>3</v>
      </c>
      <c r="C182" s="9">
        <f>IF('Ballot Entry'!M114&lt;&gt;9999,'Ballot Entry'!M114, "")</f>
        <v>1217</v>
      </c>
      <c r="D182" s="9">
        <f>IF('Ballot Entry'!N114&lt;&gt;9999,'Ballot Entry'!N114, "")</f>
        <v>1029</v>
      </c>
      <c r="E182" s="9">
        <f>IF('Ballot Entry'!$M114&lt;&gt;9999,'Ballot Entry'!Q114,"")</f>
        <v>0</v>
      </c>
      <c r="F182" s="9" t="str">
        <f t="shared" si="90"/>
        <v>T</v>
      </c>
      <c r="G182" s="9">
        <f t="shared" si="87"/>
        <v>0</v>
      </c>
      <c r="H182" s="395" t="e">
        <f t="shared" ref="H182:K182" si="136">H147</f>
        <v>#N/A</v>
      </c>
      <c r="I182" s="395" t="e">
        <f t="shared" si="136"/>
        <v>#N/A</v>
      </c>
      <c r="J182" s="395" t="e">
        <f t="shared" si="136"/>
        <v>#N/A</v>
      </c>
      <c r="K182" s="395" t="e">
        <f t="shared" si="136"/>
        <v>#N/A</v>
      </c>
    </row>
    <row r="183" spans="1:11" x14ac:dyDescent="0.2">
      <c r="A183" s="395">
        <v>2</v>
      </c>
      <c r="B183" s="395">
        <v>3</v>
      </c>
      <c r="C183" s="9">
        <f>IF('Ballot Entry'!M115&lt;&gt;9999,'Ballot Entry'!M115, "")</f>
        <v>1616</v>
      </c>
      <c r="D183" s="9">
        <f>IF('Ballot Entry'!N115&lt;&gt;9999,'Ballot Entry'!N115, "")</f>
        <v>1262</v>
      </c>
      <c r="E183" s="9">
        <f>IF('Ballot Entry'!$M115&lt;&gt;9999,'Ballot Entry'!Q115,"")</f>
        <v>0</v>
      </c>
      <c r="F183" s="9" t="str">
        <f t="shared" si="90"/>
        <v>T</v>
      </c>
      <c r="G183" s="9">
        <f t="shared" si="87"/>
        <v>0</v>
      </c>
      <c r="H183" s="395" t="e">
        <f t="shared" ref="H183:K183" si="137">H148</f>
        <v>#N/A</v>
      </c>
      <c r="I183" s="395" t="e">
        <f t="shared" si="137"/>
        <v>#N/A</v>
      </c>
      <c r="J183" s="395" t="e">
        <f t="shared" si="137"/>
        <v>#N/A</v>
      </c>
      <c r="K183" s="395" t="e">
        <f t="shared" si="137"/>
        <v>#N/A</v>
      </c>
    </row>
    <row r="184" spans="1:11" x14ac:dyDescent="0.2">
      <c r="A184" s="395">
        <v>2</v>
      </c>
      <c r="B184" s="395">
        <v>3</v>
      </c>
      <c r="C184" s="9">
        <f>IF('Ballot Entry'!M116&lt;&gt;9999,'Ballot Entry'!M116, "")</f>
        <v>1051</v>
      </c>
      <c r="D184" s="9">
        <f>IF('Ballot Entry'!N116&lt;&gt;9999,'Ballot Entry'!N116, "")</f>
        <v>1577</v>
      </c>
      <c r="E184" s="9">
        <f>IF('Ballot Entry'!$M116&lt;&gt;9999,'Ballot Entry'!Q116,"")</f>
        <v>0</v>
      </c>
      <c r="F184" s="9" t="str">
        <f t="shared" si="90"/>
        <v>T</v>
      </c>
      <c r="G184" s="9">
        <f t="shared" si="87"/>
        <v>0</v>
      </c>
      <c r="H184" s="395" t="e">
        <f t="shared" ref="H184:K184" si="138">H149</f>
        <v>#N/A</v>
      </c>
      <c r="I184" s="395" t="e">
        <f t="shared" si="138"/>
        <v>#N/A</v>
      </c>
      <c r="J184" s="395" t="e">
        <f t="shared" si="138"/>
        <v>#N/A</v>
      </c>
      <c r="K184" s="395" t="e">
        <f t="shared" si="138"/>
        <v>#N/A</v>
      </c>
    </row>
    <row r="185" spans="1:11" x14ac:dyDescent="0.2">
      <c r="A185" s="395">
        <v>2</v>
      </c>
      <c r="B185" s="395">
        <v>3</v>
      </c>
      <c r="C185" s="9">
        <f>IF('Ballot Entry'!M117&lt;&gt;9999,'Ballot Entry'!M117, "")</f>
        <v>1078</v>
      </c>
      <c r="D185" s="9">
        <f>IF('Ballot Entry'!N117&lt;&gt;9999,'Ballot Entry'!N117, "")</f>
        <v>1506</v>
      </c>
      <c r="E185" s="9">
        <f>IF('Ballot Entry'!$M117&lt;&gt;9999,'Ballot Entry'!Q117,"")</f>
        <v>0</v>
      </c>
      <c r="F185" s="9" t="str">
        <f t="shared" si="90"/>
        <v>T</v>
      </c>
      <c r="G185" s="9">
        <f t="shared" si="87"/>
        <v>0</v>
      </c>
      <c r="H185" s="395" t="e">
        <f t="shared" ref="H185:K185" si="139">H150</f>
        <v>#N/A</v>
      </c>
      <c r="I185" s="395" t="e">
        <f t="shared" si="139"/>
        <v>#N/A</v>
      </c>
      <c r="J185" s="395" t="e">
        <f t="shared" si="139"/>
        <v>#N/A</v>
      </c>
      <c r="K185" s="395" t="e">
        <f t="shared" si="139"/>
        <v>#N/A</v>
      </c>
    </row>
    <row r="186" spans="1:11" x14ac:dyDescent="0.2">
      <c r="A186" s="395">
        <v>2</v>
      </c>
      <c r="B186" s="395">
        <v>3</v>
      </c>
      <c r="C186" s="9" t="str">
        <f>IF('Ballot Entry'!M118&lt;&gt;9999,'Ballot Entry'!M118, "")</f>
        <v/>
      </c>
      <c r="D186" s="9" t="str">
        <f>IF('Ballot Entry'!N118&lt;&gt;9999,'Ballot Entry'!N118, "")</f>
        <v/>
      </c>
      <c r="E186" s="9" t="str">
        <f>IF('Ballot Entry'!$M118&lt;&gt;9999,'Ballot Entry'!Q118,"")</f>
        <v/>
      </c>
      <c r="F186" s="9" t="e">
        <f t="shared" si="90"/>
        <v>#N/A</v>
      </c>
      <c r="G186" s="9" t="e">
        <f t="shared" si="87"/>
        <v>#VALUE!</v>
      </c>
      <c r="H186" s="395" t="e">
        <f t="shared" ref="H186:K186" si="140">H151</f>
        <v>#N/A</v>
      </c>
      <c r="I186" s="395" t="e">
        <f t="shared" si="140"/>
        <v>#N/A</v>
      </c>
      <c r="J186" s="395" t="e">
        <f t="shared" si="140"/>
        <v>#N/A</v>
      </c>
      <c r="K186" s="395" t="e">
        <f t="shared" si="140"/>
        <v>#N/A</v>
      </c>
    </row>
    <row r="187" spans="1:11" x14ac:dyDescent="0.2">
      <c r="A187" s="395">
        <v>2</v>
      </c>
      <c r="B187" s="395">
        <v>3</v>
      </c>
      <c r="C187" s="9" t="str">
        <f>IF('Ballot Entry'!M119&lt;&gt;9999,'Ballot Entry'!M119, "")</f>
        <v/>
      </c>
      <c r="D187" s="9" t="str">
        <f>IF('Ballot Entry'!N119&lt;&gt;9999,'Ballot Entry'!N119, "")</f>
        <v/>
      </c>
      <c r="E187" s="9" t="str">
        <f>IF('Ballot Entry'!$M119&lt;&gt;9999,'Ballot Entry'!Q119,"")</f>
        <v/>
      </c>
      <c r="F187" s="9" t="e">
        <f t="shared" si="90"/>
        <v>#N/A</v>
      </c>
      <c r="G187" s="9" t="e">
        <f t="shared" si="87"/>
        <v>#VALUE!</v>
      </c>
      <c r="H187" s="395" t="e">
        <f t="shared" ref="H187:K187" si="141">H152</f>
        <v>#N/A</v>
      </c>
      <c r="I187" s="395" t="e">
        <f t="shared" si="141"/>
        <v>#N/A</v>
      </c>
      <c r="J187" s="395" t="e">
        <f t="shared" si="141"/>
        <v>#N/A</v>
      </c>
      <c r="K187" s="395" t="e">
        <f t="shared" si="141"/>
        <v>#N/A</v>
      </c>
    </row>
    <row r="188" spans="1:11" x14ac:dyDescent="0.2">
      <c r="A188" s="395">
        <v>2</v>
      </c>
      <c r="B188" s="395">
        <v>3</v>
      </c>
      <c r="C188" s="9" t="str">
        <f>IF('Ballot Entry'!M120&lt;&gt;9999,'Ballot Entry'!M120, "")</f>
        <v/>
      </c>
      <c r="D188" s="9" t="str">
        <f>IF('Ballot Entry'!N120&lt;&gt;9999,'Ballot Entry'!N120, "")</f>
        <v/>
      </c>
      <c r="E188" s="9" t="str">
        <f>IF('Ballot Entry'!$M120&lt;&gt;9999,'Ballot Entry'!Q120,"")</f>
        <v/>
      </c>
      <c r="F188" s="9" t="e">
        <f t="shared" si="90"/>
        <v>#N/A</v>
      </c>
      <c r="G188" s="9" t="e">
        <f t="shared" si="87"/>
        <v>#VALUE!</v>
      </c>
      <c r="H188" s="395" t="e">
        <f t="shared" ref="H188:K188" si="142">H153</f>
        <v>#N/A</v>
      </c>
      <c r="I188" s="395" t="e">
        <f t="shared" si="142"/>
        <v>#N/A</v>
      </c>
      <c r="J188" s="395" t="e">
        <f t="shared" si="142"/>
        <v>#N/A</v>
      </c>
      <c r="K188" s="395" t="e">
        <f t="shared" si="142"/>
        <v>#N/A</v>
      </c>
    </row>
    <row r="189" spans="1:11" x14ac:dyDescent="0.2">
      <c r="A189" s="395">
        <v>2</v>
      </c>
      <c r="B189" s="395">
        <v>3</v>
      </c>
      <c r="C189" s="9" t="str">
        <f>IF('Ballot Entry'!M121&lt;&gt;9999,'Ballot Entry'!M121, "")</f>
        <v/>
      </c>
      <c r="D189" s="9" t="str">
        <f>IF('Ballot Entry'!N121&lt;&gt;9999,'Ballot Entry'!N121, "")</f>
        <v/>
      </c>
      <c r="E189" s="9" t="str">
        <f>IF('Ballot Entry'!$M121&lt;&gt;9999,'Ballot Entry'!Q121,"")</f>
        <v/>
      </c>
      <c r="F189" s="9" t="e">
        <f t="shared" si="90"/>
        <v>#N/A</v>
      </c>
      <c r="G189" s="9" t="e">
        <f t="shared" si="87"/>
        <v>#VALUE!</v>
      </c>
      <c r="H189" s="395" t="e">
        <f t="shared" ref="H189:K189" si="143">H154</f>
        <v>#N/A</v>
      </c>
      <c r="I189" s="395" t="e">
        <f t="shared" si="143"/>
        <v>#N/A</v>
      </c>
      <c r="J189" s="395" t="e">
        <f t="shared" si="143"/>
        <v>#N/A</v>
      </c>
      <c r="K189" s="395" t="e">
        <f t="shared" si="143"/>
        <v>#N/A</v>
      </c>
    </row>
    <row r="190" spans="1:11" x14ac:dyDescent="0.2">
      <c r="A190" s="395">
        <v>2</v>
      </c>
      <c r="B190" s="395">
        <v>3</v>
      </c>
      <c r="C190" s="9" t="str">
        <f>IF('Ballot Entry'!M122&lt;&gt;9999,'Ballot Entry'!M122, "")</f>
        <v/>
      </c>
      <c r="D190" s="9" t="str">
        <f>IF('Ballot Entry'!N122&lt;&gt;9999,'Ballot Entry'!N122, "")</f>
        <v/>
      </c>
      <c r="E190" s="9" t="str">
        <f>IF('Ballot Entry'!$M122&lt;&gt;9999,'Ballot Entry'!Q122,"")</f>
        <v/>
      </c>
      <c r="F190" s="9" t="e">
        <f t="shared" si="90"/>
        <v>#N/A</v>
      </c>
      <c r="G190" s="9" t="e">
        <f t="shared" si="87"/>
        <v>#VALUE!</v>
      </c>
      <c r="H190" s="395" t="e">
        <f t="shared" ref="H190:K190" si="144">H155</f>
        <v>#N/A</v>
      </c>
      <c r="I190" s="395" t="e">
        <f t="shared" si="144"/>
        <v>#N/A</v>
      </c>
      <c r="J190" s="395" t="e">
        <f t="shared" si="144"/>
        <v>#N/A</v>
      </c>
      <c r="K190" s="395" t="e">
        <f t="shared" si="144"/>
        <v>#N/A</v>
      </c>
    </row>
    <row r="191" spans="1:11" x14ac:dyDescent="0.2">
      <c r="A191" s="395">
        <v>2</v>
      </c>
      <c r="B191" s="395">
        <v>3</v>
      </c>
      <c r="C191" s="9" t="str">
        <f>IF('Ballot Entry'!M123&lt;&gt;9999,'Ballot Entry'!M123, "")</f>
        <v/>
      </c>
      <c r="D191" s="9" t="str">
        <f>IF('Ballot Entry'!N123&lt;&gt;9999,'Ballot Entry'!N123, "")</f>
        <v/>
      </c>
      <c r="E191" s="9" t="str">
        <f>IF('Ballot Entry'!$M123&lt;&gt;9999,'Ballot Entry'!Q123,"")</f>
        <v/>
      </c>
      <c r="F191" s="9" t="e">
        <f t="shared" si="90"/>
        <v>#N/A</v>
      </c>
      <c r="G191" s="9" t="e">
        <f t="shared" si="87"/>
        <v>#VALUE!</v>
      </c>
      <c r="H191" s="395" t="e">
        <f t="shared" ref="H191:K191" si="145">H156</f>
        <v>#N/A</v>
      </c>
      <c r="I191" s="395" t="e">
        <f t="shared" si="145"/>
        <v>#N/A</v>
      </c>
      <c r="J191" s="395" t="e">
        <f t="shared" si="145"/>
        <v>#N/A</v>
      </c>
      <c r="K191" s="395" t="e">
        <f t="shared" si="145"/>
        <v>#N/A</v>
      </c>
    </row>
    <row r="192" spans="1:11" x14ac:dyDescent="0.2">
      <c r="A192" s="395">
        <v>2</v>
      </c>
      <c r="B192" s="395">
        <v>3</v>
      </c>
      <c r="C192" s="9" t="str">
        <f>IF('Ballot Entry'!M124&lt;&gt;9999,'Ballot Entry'!M124, "")</f>
        <v/>
      </c>
      <c r="D192" s="9" t="str">
        <f>IF('Ballot Entry'!N124&lt;&gt;9999,'Ballot Entry'!N124, "")</f>
        <v/>
      </c>
      <c r="E192" s="9" t="str">
        <f>IF('Ballot Entry'!$M124&lt;&gt;9999,'Ballot Entry'!Q124,"")</f>
        <v/>
      </c>
      <c r="F192" s="9" t="e">
        <f t="shared" si="90"/>
        <v>#N/A</v>
      </c>
      <c r="G192" s="9" t="e">
        <f t="shared" si="87"/>
        <v>#VALUE!</v>
      </c>
      <c r="H192" s="395" t="e">
        <f t="shared" ref="H192:K192" si="146">H157</f>
        <v>#N/A</v>
      </c>
      <c r="I192" s="395" t="e">
        <f t="shared" si="146"/>
        <v>#N/A</v>
      </c>
      <c r="J192" s="395" t="e">
        <f t="shared" si="146"/>
        <v>#N/A</v>
      </c>
      <c r="K192" s="395" t="e">
        <f t="shared" si="146"/>
        <v>#N/A</v>
      </c>
    </row>
    <row r="193" spans="1:11" x14ac:dyDescent="0.2">
      <c r="A193" s="395">
        <v>2</v>
      </c>
      <c r="B193" s="395">
        <v>3</v>
      </c>
      <c r="C193" s="9" t="str">
        <f>IF('Ballot Entry'!M125&lt;&gt;9999,'Ballot Entry'!M125, "")</f>
        <v/>
      </c>
      <c r="D193" s="9" t="str">
        <f>IF('Ballot Entry'!N125&lt;&gt;9999,'Ballot Entry'!N125, "")</f>
        <v/>
      </c>
      <c r="E193" s="9" t="str">
        <f>IF('Ballot Entry'!$M125&lt;&gt;9999,'Ballot Entry'!Q125,"")</f>
        <v/>
      </c>
      <c r="F193" s="9" t="e">
        <f t="shared" si="90"/>
        <v>#N/A</v>
      </c>
      <c r="G193" s="9" t="e">
        <f t="shared" si="87"/>
        <v>#VALUE!</v>
      </c>
      <c r="H193" s="395" t="e">
        <f t="shared" ref="H193:K193" si="147">H158</f>
        <v>#N/A</v>
      </c>
      <c r="I193" s="395" t="e">
        <f t="shared" si="147"/>
        <v>#N/A</v>
      </c>
      <c r="J193" s="395" t="e">
        <f t="shared" si="147"/>
        <v>#N/A</v>
      </c>
      <c r="K193" s="395" t="e">
        <f t="shared" si="147"/>
        <v>#N/A</v>
      </c>
    </row>
    <row r="194" spans="1:11" x14ac:dyDescent="0.2">
      <c r="A194" s="395">
        <v>2</v>
      </c>
      <c r="B194" s="395">
        <v>3</v>
      </c>
      <c r="C194" s="9" t="str">
        <f>IF('Ballot Entry'!M126&lt;&gt;9999,'Ballot Entry'!M126, "")</f>
        <v/>
      </c>
      <c r="D194" s="9" t="str">
        <f>IF('Ballot Entry'!N126&lt;&gt;9999,'Ballot Entry'!N126, "")</f>
        <v/>
      </c>
      <c r="E194" s="9" t="str">
        <f>IF('Ballot Entry'!$M126&lt;&gt;9999,'Ballot Entry'!Q126,"")</f>
        <v/>
      </c>
      <c r="F194" s="9" t="e">
        <f t="shared" si="90"/>
        <v>#N/A</v>
      </c>
      <c r="G194" s="9" t="e">
        <f t="shared" si="87"/>
        <v>#VALUE!</v>
      </c>
      <c r="H194" s="395" t="e">
        <f t="shared" ref="H194:K194" si="148">H159</f>
        <v>#N/A</v>
      </c>
      <c r="I194" s="395" t="e">
        <f t="shared" si="148"/>
        <v>#N/A</v>
      </c>
      <c r="J194" s="395" t="e">
        <f t="shared" si="148"/>
        <v>#N/A</v>
      </c>
      <c r="K194" s="395" t="e">
        <f t="shared" si="148"/>
        <v>#N/A</v>
      </c>
    </row>
    <row r="195" spans="1:11" x14ac:dyDescent="0.2">
      <c r="A195" s="395">
        <v>2</v>
      </c>
      <c r="B195" s="395">
        <v>3</v>
      </c>
      <c r="C195" s="9" t="str">
        <f>IF('Ballot Entry'!M127&lt;&gt;9999,'Ballot Entry'!M127, "")</f>
        <v/>
      </c>
      <c r="D195" s="9" t="str">
        <f>IF('Ballot Entry'!N127&lt;&gt;9999,'Ballot Entry'!N127, "")</f>
        <v/>
      </c>
      <c r="E195" s="9" t="str">
        <f>IF('Ballot Entry'!$M127&lt;&gt;9999,'Ballot Entry'!Q127,"")</f>
        <v/>
      </c>
      <c r="F195" s="9" t="e">
        <f t="shared" si="90"/>
        <v>#N/A</v>
      </c>
      <c r="G195" s="9" t="e">
        <f t="shared" si="87"/>
        <v>#VALUE!</v>
      </c>
      <c r="H195" s="395" t="e">
        <f t="shared" ref="H195:K195" si="149">H160</f>
        <v>#N/A</v>
      </c>
      <c r="I195" s="395" t="e">
        <f t="shared" si="149"/>
        <v>#N/A</v>
      </c>
      <c r="J195" s="395" t="e">
        <f t="shared" si="149"/>
        <v>#N/A</v>
      </c>
      <c r="K195" s="395" t="e">
        <f t="shared" si="149"/>
        <v>#N/A</v>
      </c>
    </row>
    <row r="196" spans="1:11" x14ac:dyDescent="0.2">
      <c r="A196" s="395">
        <v>2</v>
      </c>
      <c r="B196" s="395">
        <v>3</v>
      </c>
      <c r="C196" s="9" t="str">
        <f>IF('Ballot Entry'!M128&lt;&gt;9999,'Ballot Entry'!M128, "")</f>
        <v/>
      </c>
      <c r="D196" s="9" t="str">
        <f>IF('Ballot Entry'!N128&lt;&gt;9999,'Ballot Entry'!N128, "")</f>
        <v/>
      </c>
      <c r="E196" s="9" t="str">
        <f>IF('Ballot Entry'!$M128&lt;&gt;9999,'Ballot Entry'!Q128,"")</f>
        <v/>
      </c>
      <c r="F196" s="9" t="e">
        <f t="shared" si="90"/>
        <v>#N/A</v>
      </c>
      <c r="G196" s="9" t="e">
        <f t="shared" si="87"/>
        <v>#VALUE!</v>
      </c>
      <c r="H196" s="395" t="e">
        <f t="shared" ref="H196:K196" si="150">H161</f>
        <v>#N/A</v>
      </c>
      <c r="I196" s="395" t="e">
        <f t="shared" si="150"/>
        <v>#N/A</v>
      </c>
      <c r="J196" s="395" t="e">
        <f t="shared" si="150"/>
        <v>#N/A</v>
      </c>
      <c r="K196" s="395" t="e">
        <f t="shared" si="150"/>
        <v>#N/A</v>
      </c>
    </row>
    <row r="197" spans="1:11" x14ac:dyDescent="0.2">
      <c r="A197" s="395">
        <v>2</v>
      </c>
      <c r="B197" s="395">
        <v>3</v>
      </c>
      <c r="C197" s="9" t="str">
        <f>IF('Ballot Entry'!M129&lt;&gt;9999,'Ballot Entry'!M129, "")</f>
        <v/>
      </c>
      <c r="D197" s="9" t="str">
        <f>IF('Ballot Entry'!N129&lt;&gt;9999,'Ballot Entry'!N129, "")</f>
        <v/>
      </c>
      <c r="E197" s="9" t="str">
        <f>IF('Ballot Entry'!$M129&lt;&gt;9999,'Ballot Entry'!Q129,"")</f>
        <v/>
      </c>
      <c r="F197" s="9" t="e">
        <f t="shared" ref="F197:F211" si="151">IF(E197="",NA(),IF(E197&gt;0, "P", IF(E197&lt;0,"D", "T")))</f>
        <v>#N/A</v>
      </c>
      <c r="G197" s="9" t="e">
        <f t="shared" ref="G197:G211" si="152">ABS(E197)</f>
        <v>#VALUE!</v>
      </c>
      <c r="H197" s="395" t="e">
        <f t="shared" ref="H197:K197" si="153">H162</f>
        <v>#N/A</v>
      </c>
      <c r="I197" s="395" t="e">
        <f t="shared" si="153"/>
        <v>#N/A</v>
      </c>
      <c r="J197" s="395" t="e">
        <f t="shared" si="153"/>
        <v>#N/A</v>
      </c>
      <c r="K197" s="395" t="e">
        <f t="shared" si="153"/>
        <v>#N/A</v>
      </c>
    </row>
    <row r="198" spans="1:11" x14ac:dyDescent="0.2">
      <c r="A198" s="395">
        <v>2</v>
      </c>
      <c r="B198" s="395">
        <v>3</v>
      </c>
      <c r="C198" s="9" t="str">
        <f>IF('Ballot Entry'!M130&lt;&gt;9999,'Ballot Entry'!M130, "")</f>
        <v/>
      </c>
      <c r="D198" s="9" t="str">
        <f>IF('Ballot Entry'!N130&lt;&gt;9999,'Ballot Entry'!N130, "")</f>
        <v/>
      </c>
      <c r="E198" s="9" t="str">
        <f>IF('Ballot Entry'!$M130&lt;&gt;9999,'Ballot Entry'!Q130,"")</f>
        <v/>
      </c>
      <c r="F198" s="9" t="e">
        <f t="shared" si="151"/>
        <v>#N/A</v>
      </c>
      <c r="G198" s="9" t="e">
        <f t="shared" si="152"/>
        <v>#VALUE!</v>
      </c>
      <c r="H198" s="395" t="e">
        <f t="shared" ref="H198:K198" si="154">H163</f>
        <v>#N/A</v>
      </c>
      <c r="I198" s="395" t="e">
        <f t="shared" si="154"/>
        <v>#N/A</v>
      </c>
      <c r="J198" s="395" t="e">
        <f t="shared" si="154"/>
        <v>#N/A</v>
      </c>
      <c r="K198" s="395" t="e">
        <f t="shared" si="154"/>
        <v>#N/A</v>
      </c>
    </row>
    <row r="199" spans="1:11" x14ac:dyDescent="0.2">
      <c r="A199" s="395">
        <v>2</v>
      </c>
      <c r="B199" s="395">
        <v>3</v>
      </c>
      <c r="C199" s="9" t="str">
        <f>IF('Ballot Entry'!M131&lt;&gt;9999,'Ballot Entry'!M131, "")</f>
        <v/>
      </c>
      <c r="D199" s="9" t="str">
        <f>IF('Ballot Entry'!N131&lt;&gt;9999,'Ballot Entry'!N131, "")</f>
        <v/>
      </c>
      <c r="E199" s="9" t="str">
        <f>IF('Ballot Entry'!$M131&lt;&gt;9999,'Ballot Entry'!Q131,"")</f>
        <v/>
      </c>
      <c r="F199" s="9" t="e">
        <f t="shared" si="151"/>
        <v>#N/A</v>
      </c>
      <c r="G199" s="9" t="e">
        <f t="shared" si="152"/>
        <v>#VALUE!</v>
      </c>
      <c r="H199" s="395" t="e">
        <f t="shared" ref="H199:K199" si="155">H164</f>
        <v>#N/A</v>
      </c>
      <c r="I199" s="395" t="e">
        <f t="shared" si="155"/>
        <v>#N/A</v>
      </c>
      <c r="J199" s="395" t="e">
        <f t="shared" si="155"/>
        <v>#N/A</v>
      </c>
      <c r="K199" s="395" t="e">
        <f t="shared" si="155"/>
        <v>#N/A</v>
      </c>
    </row>
    <row r="200" spans="1:11" x14ac:dyDescent="0.2">
      <c r="A200" s="395">
        <v>2</v>
      </c>
      <c r="B200" s="395">
        <v>3</v>
      </c>
      <c r="C200" s="9" t="str">
        <f>IF('Ballot Entry'!M132&lt;&gt;9999,'Ballot Entry'!M132, "")</f>
        <v/>
      </c>
      <c r="D200" s="9" t="str">
        <f>IF('Ballot Entry'!N132&lt;&gt;9999,'Ballot Entry'!N132, "")</f>
        <v/>
      </c>
      <c r="E200" s="9" t="str">
        <f>IF('Ballot Entry'!$M132&lt;&gt;9999,'Ballot Entry'!Q132,"")</f>
        <v/>
      </c>
      <c r="F200" s="9" t="e">
        <f t="shared" si="151"/>
        <v>#N/A</v>
      </c>
      <c r="G200" s="9" t="e">
        <f t="shared" si="152"/>
        <v>#VALUE!</v>
      </c>
      <c r="H200" s="395" t="e">
        <f t="shared" ref="H200:K200" si="156">H165</f>
        <v>#N/A</v>
      </c>
      <c r="I200" s="395" t="e">
        <f t="shared" si="156"/>
        <v>#N/A</v>
      </c>
      <c r="J200" s="395" t="e">
        <f t="shared" si="156"/>
        <v>#N/A</v>
      </c>
      <c r="K200" s="395" t="e">
        <f t="shared" si="156"/>
        <v>#N/A</v>
      </c>
    </row>
    <row r="201" spans="1:11" x14ac:dyDescent="0.2">
      <c r="A201" s="395">
        <v>2</v>
      </c>
      <c r="B201" s="395">
        <v>3</v>
      </c>
      <c r="C201" s="9" t="str">
        <f>IF('Ballot Entry'!M133&lt;&gt;9999,'Ballot Entry'!M133, "")</f>
        <v/>
      </c>
      <c r="D201" s="9" t="str">
        <f>IF('Ballot Entry'!N133&lt;&gt;9999,'Ballot Entry'!N133, "")</f>
        <v/>
      </c>
      <c r="E201" s="9" t="str">
        <f>IF('Ballot Entry'!$M133&lt;&gt;9999,'Ballot Entry'!Q133,"")</f>
        <v/>
      </c>
      <c r="F201" s="9" t="e">
        <f t="shared" si="151"/>
        <v>#N/A</v>
      </c>
      <c r="G201" s="9" t="e">
        <f t="shared" si="152"/>
        <v>#VALUE!</v>
      </c>
      <c r="H201" s="395" t="e">
        <f t="shared" ref="H201:K201" si="157">H166</f>
        <v>#N/A</v>
      </c>
      <c r="I201" s="395" t="e">
        <f t="shared" si="157"/>
        <v>#N/A</v>
      </c>
      <c r="J201" s="395" t="e">
        <f t="shared" si="157"/>
        <v>#N/A</v>
      </c>
      <c r="K201" s="395" t="e">
        <f t="shared" si="157"/>
        <v>#N/A</v>
      </c>
    </row>
    <row r="202" spans="1:11" x14ac:dyDescent="0.2">
      <c r="A202" s="395">
        <v>2</v>
      </c>
      <c r="B202" s="395">
        <v>3</v>
      </c>
      <c r="C202" s="9" t="str">
        <f>IF('Ballot Entry'!M134&lt;&gt;9999,'Ballot Entry'!M134, "")</f>
        <v/>
      </c>
      <c r="D202" s="9" t="str">
        <f>IF('Ballot Entry'!N134&lt;&gt;9999,'Ballot Entry'!N134, "")</f>
        <v/>
      </c>
      <c r="E202" s="9" t="str">
        <f>IF('Ballot Entry'!$M134&lt;&gt;9999,'Ballot Entry'!Q134,"")</f>
        <v/>
      </c>
      <c r="F202" s="9" t="e">
        <f t="shared" si="151"/>
        <v>#N/A</v>
      </c>
      <c r="G202" s="9" t="e">
        <f t="shared" si="152"/>
        <v>#VALUE!</v>
      </c>
      <c r="H202" s="395" t="e">
        <f t="shared" ref="H202:K202" si="158">H167</f>
        <v>#N/A</v>
      </c>
      <c r="I202" s="395" t="e">
        <f t="shared" si="158"/>
        <v>#N/A</v>
      </c>
      <c r="J202" s="395" t="e">
        <f t="shared" si="158"/>
        <v>#N/A</v>
      </c>
      <c r="K202" s="395" t="e">
        <f t="shared" si="158"/>
        <v>#N/A</v>
      </c>
    </row>
    <row r="203" spans="1:11" x14ac:dyDescent="0.2">
      <c r="A203" s="395">
        <v>2</v>
      </c>
      <c r="B203" s="395">
        <v>3</v>
      </c>
      <c r="C203" s="9" t="str">
        <f>IF('Ballot Entry'!M135&lt;&gt;9999,'Ballot Entry'!M135, "")</f>
        <v/>
      </c>
      <c r="D203" s="9" t="str">
        <f>IF('Ballot Entry'!N135&lt;&gt;9999,'Ballot Entry'!N135, "")</f>
        <v/>
      </c>
      <c r="E203" s="9" t="str">
        <f>IF('Ballot Entry'!$M135&lt;&gt;9999,'Ballot Entry'!Q135,"")</f>
        <v/>
      </c>
      <c r="F203" s="9" t="e">
        <f t="shared" si="151"/>
        <v>#N/A</v>
      </c>
      <c r="G203" s="9" t="e">
        <f t="shared" si="152"/>
        <v>#VALUE!</v>
      </c>
      <c r="H203" s="395" t="e">
        <f t="shared" ref="H203:K203" si="159">H168</f>
        <v>#N/A</v>
      </c>
      <c r="I203" s="395" t="e">
        <f t="shared" si="159"/>
        <v>#N/A</v>
      </c>
      <c r="J203" s="395" t="e">
        <f t="shared" si="159"/>
        <v>#N/A</v>
      </c>
      <c r="K203" s="395" t="e">
        <f t="shared" si="159"/>
        <v>#N/A</v>
      </c>
    </row>
    <row r="204" spans="1:11" x14ac:dyDescent="0.2">
      <c r="A204" s="395">
        <v>2</v>
      </c>
      <c r="B204" s="395">
        <v>3</v>
      </c>
      <c r="C204" s="9" t="str">
        <f>IF('Ballot Entry'!M136&lt;&gt;9999,'Ballot Entry'!M136, "")</f>
        <v/>
      </c>
      <c r="D204" s="9" t="str">
        <f>IF('Ballot Entry'!N136&lt;&gt;9999,'Ballot Entry'!N136, "")</f>
        <v/>
      </c>
      <c r="E204" s="9" t="str">
        <f>IF('Ballot Entry'!$M136&lt;&gt;9999,'Ballot Entry'!Q136,"")</f>
        <v/>
      </c>
      <c r="F204" s="9" t="e">
        <f t="shared" si="151"/>
        <v>#N/A</v>
      </c>
      <c r="G204" s="9" t="e">
        <f t="shared" si="152"/>
        <v>#VALUE!</v>
      </c>
      <c r="H204" s="395" t="e">
        <f t="shared" ref="H204:K204" si="160">H169</f>
        <v>#N/A</v>
      </c>
      <c r="I204" s="395" t="e">
        <f t="shared" si="160"/>
        <v>#N/A</v>
      </c>
      <c r="J204" s="395" t="e">
        <f t="shared" si="160"/>
        <v>#N/A</v>
      </c>
      <c r="K204" s="395" t="e">
        <f t="shared" si="160"/>
        <v>#N/A</v>
      </c>
    </row>
    <row r="205" spans="1:11" x14ac:dyDescent="0.2">
      <c r="A205" s="395">
        <v>2</v>
      </c>
      <c r="B205" s="395">
        <v>3</v>
      </c>
      <c r="C205" s="9" t="str">
        <f>IF('Ballot Entry'!M137&lt;&gt;9999,'Ballot Entry'!M137, "")</f>
        <v/>
      </c>
      <c r="D205" s="9" t="str">
        <f>IF('Ballot Entry'!N137&lt;&gt;9999,'Ballot Entry'!N137, "")</f>
        <v/>
      </c>
      <c r="E205" s="9" t="str">
        <f>IF('Ballot Entry'!$M137&lt;&gt;9999,'Ballot Entry'!Q137,"")</f>
        <v/>
      </c>
      <c r="F205" s="9" t="e">
        <f t="shared" si="151"/>
        <v>#N/A</v>
      </c>
      <c r="G205" s="9" t="e">
        <f t="shared" si="152"/>
        <v>#VALUE!</v>
      </c>
      <c r="H205" s="395" t="e">
        <f t="shared" ref="H205:K205" si="161">H170</f>
        <v>#N/A</v>
      </c>
      <c r="I205" s="395" t="e">
        <f t="shared" si="161"/>
        <v>#N/A</v>
      </c>
      <c r="J205" s="395" t="e">
        <f t="shared" si="161"/>
        <v>#N/A</v>
      </c>
      <c r="K205" s="395" t="e">
        <f t="shared" si="161"/>
        <v>#N/A</v>
      </c>
    </row>
    <row r="206" spans="1:11" x14ac:dyDescent="0.2">
      <c r="A206" s="395">
        <v>2</v>
      </c>
      <c r="B206" s="395">
        <v>3</v>
      </c>
      <c r="C206" s="9" t="str">
        <f>IF('Ballot Entry'!M138&lt;&gt;9999,'Ballot Entry'!M138, "")</f>
        <v/>
      </c>
      <c r="D206" s="9" t="str">
        <f>IF('Ballot Entry'!N138&lt;&gt;9999,'Ballot Entry'!N138, "")</f>
        <v/>
      </c>
      <c r="E206" s="9" t="str">
        <f>IF('Ballot Entry'!$M138&lt;&gt;9999,'Ballot Entry'!Q138,"")</f>
        <v/>
      </c>
      <c r="F206" s="9" t="e">
        <f t="shared" si="151"/>
        <v>#N/A</v>
      </c>
      <c r="G206" s="9" t="e">
        <f t="shared" si="152"/>
        <v>#VALUE!</v>
      </c>
      <c r="H206" s="395" t="e">
        <f t="shared" ref="H206:K206" si="162">H171</f>
        <v>#N/A</v>
      </c>
      <c r="I206" s="395" t="e">
        <f t="shared" si="162"/>
        <v>#N/A</v>
      </c>
      <c r="J206" s="395" t="e">
        <f t="shared" si="162"/>
        <v>#N/A</v>
      </c>
      <c r="K206" s="395" t="e">
        <f t="shared" si="162"/>
        <v>#N/A</v>
      </c>
    </row>
    <row r="207" spans="1:11" x14ac:dyDescent="0.2">
      <c r="A207" s="395">
        <v>2</v>
      </c>
      <c r="B207" s="395">
        <v>3</v>
      </c>
      <c r="C207" s="9" t="str">
        <f>IF('Ballot Entry'!M139&lt;&gt;9999,'Ballot Entry'!M139, "")</f>
        <v/>
      </c>
      <c r="D207" s="9" t="str">
        <f>IF('Ballot Entry'!N139&lt;&gt;9999,'Ballot Entry'!N139, "")</f>
        <v/>
      </c>
      <c r="E207" s="9" t="str">
        <f>IF('Ballot Entry'!$M139&lt;&gt;9999,'Ballot Entry'!Q139,"")</f>
        <v/>
      </c>
      <c r="F207" s="9" t="e">
        <f t="shared" si="151"/>
        <v>#N/A</v>
      </c>
      <c r="G207" s="9" t="e">
        <f t="shared" si="152"/>
        <v>#VALUE!</v>
      </c>
      <c r="H207" s="395" t="e">
        <f t="shared" ref="H207:K207" si="163">H172</f>
        <v>#N/A</v>
      </c>
      <c r="I207" s="395" t="e">
        <f t="shared" si="163"/>
        <v>#N/A</v>
      </c>
      <c r="J207" s="395" t="e">
        <f t="shared" si="163"/>
        <v>#N/A</v>
      </c>
      <c r="K207" s="395" t="e">
        <f t="shared" si="163"/>
        <v>#N/A</v>
      </c>
    </row>
    <row r="208" spans="1:11" x14ac:dyDescent="0.2">
      <c r="A208" s="395">
        <v>2</v>
      </c>
      <c r="B208" s="395">
        <v>3</v>
      </c>
      <c r="C208" s="9" t="str">
        <f>IF('Ballot Entry'!M140&lt;&gt;9999,'Ballot Entry'!M140, "")</f>
        <v/>
      </c>
      <c r="D208" s="9" t="str">
        <f>IF('Ballot Entry'!N140&lt;&gt;9999,'Ballot Entry'!N140, "")</f>
        <v/>
      </c>
      <c r="E208" s="9" t="str">
        <f>IF('Ballot Entry'!$M140&lt;&gt;9999,'Ballot Entry'!Q140,"")</f>
        <v/>
      </c>
      <c r="F208" s="9" t="e">
        <f t="shared" si="151"/>
        <v>#N/A</v>
      </c>
      <c r="G208" s="9" t="e">
        <f t="shared" si="152"/>
        <v>#VALUE!</v>
      </c>
      <c r="H208" s="395" t="e">
        <f t="shared" ref="H208:K208" si="164">H173</f>
        <v>#N/A</v>
      </c>
      <c r="I208" s="395" t="e">
        <f t="shared" si="164"/>
        <v>#N/A</v>
      </c>
      <c r="J208" s="395" t="e">
        <f t="shared" si="164"/>
        <v>#N/A</v>
      </c>
      <c r="K208" s="395" t="e">
        <f t="shared" si="164"/>
        <v>#N/A</v>
      </c>
    </row>
    <row r="209" spans="1:17" x14ac:dyDescent="0.2">
      <c r="A209" s="395">
        <v>2</v>
      </c>
      <c r="B209" s="395">
        <v>3</v>
      </c>
      <c r="C209" s="9" t="str">
        <f>IF('Ballot Entry'!M141&lt;&gt;9999,'Ballot Entry'!M141, "")</f>
        <v/>
      </c>
      <c r="D209" s="9" t="str">
        <f>IF('Ballot Entry'!N141&lt;&gt;9999,'Ballot Entry'!N141, "")</f>
        <v/>
      </c>
      <c r="E209" s="9" t="str">
        <f>IF('Ballot Entry'!$M141&lt;&gt;9999,'Ballot Entry'!Q141,"")</f>
        <v/>
      </c>
      <c r="F209" s="9" t="e">
        <f t="shared" si="151"/>
        <v>#N/A</v>
      </c>
      <c r="G209" s="9" t="e">
        <f t="shared" si="152"/>
        <v>#VALUE!</v>
      </c>
      <c r="H209" s="395" t="e">
        <f t="shared" ref="H209:K209" si="165">H174</f>
        <v>#N/A</v>
      </c>
      <c r="I209" s="395" t="e">
        <f t="shared" si="165"/>
        <v>#N/A</v>
      </c>
      <c r="J209" s="395" t="e">
        <f t="shared" si="165"/>
        <v>#N/A</v>
      </c>
      <c r="K209" s="395" t="e">
        <f t="shared" si="165"/>
        <v>#N/A</v>
      </c>
    </row>
    <row r="210" spans="1:17" x14ac:dyDescent="0.2">
      <c r="A210" s="395">
        <v>2</v>
      </c>
      <c r="B210" s="395">
        <v>3</v>
      </c>
      <c r="C210" s="9" t="str">
        <f>IF('Ballot Entry'!M142&lt;&gt;9999,'Ballot Entry'!M142, "")</f>
        <v/>
      </c>
      <c r="D210" s="9" t="str">
        <f>IF('Ballot Entry'!N142&lt;&gt;9999,'Ballot Entry'!N142, "")</f>
        <v/>
      </c>
      <c r="E210" s="9" t="str">
        <f>IF('Ballot Entry'!$M142&lt;&gt;9999,'Ballot Entry'!Q142,"")</f>
        <v/>
      </c>
      <c r="F210" s="9" t="e">
        <f t="shared" si="151"/>
        <v>#N/A</v>
      </c>
      <c r="G210" s="9" t="e">
        <f t="shared" si="152"/>
        <v>#VALUE!</v>
      </c>
      <c r="H210" s="395" t="e">
        <f t="shared" ref="H210:K210" si="166">H175</f>
        <v>#N/A</v>
      </c>
      <c r="I210" s="395" t="e">
        <f t="shared" si="166"/>
        <v>#N/A</v>
      </c>
      <c r="J210" s="395" t="e">
        <f t="shared" si="166"/>
        <v>#N/A</v>
      </c>
      <c r="K210" s="395" t="e">
        <f t="shared" si="166"/>
        <v>#N/A</v>
      </c>
    </row>
    <row r="211" spans="1:17" x14ac:dyDescent="0.2">
      <c r="A211" s="395">
        <v>2</v>
      </c>
      <c r="B211" s="395">
        <v>3</v>
      </c>
      <c r="C211" s="9" t="str">
        <f>IF('Ballot Entry'!M143&lt;&gt;9999,'Ballot Entry'!M143, "")</f>
        <v/>
      </c>
      <c r="D211" s="9" t="str">
        <f>IF('Ballot Entry'!N143&lt;&gt;9999,'Ballot Entry'!N143, "")</f>
        <v/>
      </c>
      <c r="E211" s="9" t="str">
        <f>IF('Ballot Entry'!$M143&lt;&gt;9999,'Ballot Entry'!Q143,"")</f>
        <v/>
      </c>
      <c r="F211" s="9" t="e">
        <f t="shared" si="151"/>
        <v>#N/A</v>
      </c>
      <c r="G211" s="9" t="e">
        <f t="shared" si="152"/>
        <v>#VALUE!</v>
      </c>
      <c r="H211" s="395" t="e">
        <f t="shared" ref="H211:K211" si="167">H176</f>
        <v>#N/A</v>
      </c>
      <c r="I211" s="395" t="e">
        <f t="shared" si="167"/>
        <v>#N/A</v>
      </c>
      <c r="J211" s="395" t="e">
        <f t="shared" si="167"/>
        <v>#N/A</v>
      </c>
      <c r="K211" s="395" t="e">
        <f t="shared" si="167"/>
        <v>#N/A</v>
      </c>
    </row>
    <row r="212" spans="1:17" x14ac:dyDescent="0.2">
      <c r="A212" s="395">
        <v>3</v>
      </c>
      <c r="B212" s="395">
        <v>1</v>
      </c>
      <c r="C212" s="9">
        <f>IF('Ballot Entry'!M215&lt;&gt;9999,'Ballot Entry'!M215, "")</f>
        <v>1268</v>
      </c>
      <c r="D212" s="9">
        <f>IF('Ballot Entry'!N215&lt;&gt;9999,'Ballot Entry'!N215, "")</f>
        <v>1051</v>
      </c>
      <c r="E212" s="9">
        <f>IF('Ballot Entry'!$M215&lt;&gt;9999,'Ballot Entry'!O215,"")</f>
        <v>24</v>
      </c>
      <c r="F212" s="9" t="str">
        <f t="shared" si="90"/>
        <v>P</v>
      </c>
      <c r="G212" s="9">
        <f t="shared" si="87"/>
        <v>24</v>
      </c>
      <c r="H212" s="396" t="e">
        <f>'Captains Info'!N224</f>
        <v>#N/A</v>
      </c>
      <c r="I212" s="396" t="e">
        <f t="shared" si="85"/>
        <v>#N/A</v>
      </c>
      <c r="J212" s="396" t="e">
        <f>'Captains Info'!O224</f>
        <v>#N/A</v>
      </c>
      <c r="K212" s="396" t="e">
        <f t="shared" si="86"/>
        <v>#N/A</v>
      </c>
      <c r="Q212" s="396"/>
    </row>
    <row r="213" spans="1:17" x14ac:dyDescent="0.2">
      <c r="A213" s="395">
        <v>3</v>
      </c>
      <c r="B213" s="395">
        <v>1</v>
      </c>
      <c r="C213" s="9">
        <f>IF('Ballot Entry'!M216&lt;&gt;9999,'Ballot Entry'!M216, "")</f>
        <v>1693</v>
      </c>
      <c r="D213" s="9">
        <f>IF('Ballot Entry'!N216&lt;&gt;9999,'Ballot Entry'!N216, "")</f>
        <v>1492</v>
      </c>
      <c r="E213" s="9">
        <f>IF('Ballot Entry'!$M216&lt;&gt;9999,'Ballot Entry'!O216,"")</f>
        <v>-3</v>
      </c>
      <c r="F213" s="9" t="str">
        <f t="shared" si="90"/>
        <v>D</v>
      </c>
      <c r="G213" s="9">
        <f t="shared" si="87"/>
        <v>3</v>
      </c>
      <c r="H213" s="396" t="e">
        <f>'Captains Info'!N227</f>
        <v>#N/A</v>
      </c>
      <c r="I213" s="396" t="e">
        <f t="shared" si="85"/>
        <v>#N/A</v>
      </c>
      <c r="J213" s="396" t="e">
        <f>'Captains Info'!O227</f>
        <v>#N/A</v>
      </c>
      <c r="K213" s="396" t="e">
        <f t="shared" si="86"/>
        <v>#N/A</v>
      </c>
    </row>
    <row r="214" spans="1:17" x14ac:dyDescent="0.2">
      <c r="A214" s="395">
        <v>3</v>
      </c>
      <c r="B214" s="395">
        <v>1</v>
      </c>
      <c r="C214" s="9">
        <f>IF('Ballot Entry'!M217&lt;&gt;9999,'Ballot Entry'!M217, "")</f>
        <v>1217</v>
      </c>
      <c r="D214" s="9">
        <f>IF('Ballot Entry'!N217&lt;&gt;9999,'Ballot Entry'!N217, "")</f>
        <v>1410</v>
      </c>
      <c r="E214" s="9">
        <f>IF('Ballot Entry'!$M217&lt;&gt;9999,'Ballot Entry'!O217,"")</f>
        <v>-5</v>
      </c>
      <c r="F214" s="9" t="str">
        <f t="shared" si="90"/>
        <v>D</v>
      </c>
      <c r="G214" s="9">
        <f t="shared" si="87"/>
        <v>5</v>
      </c>
      <c r="H214" s="396" t="e">
        <f>'Captains Info'!N230</f>
        <v>#N/A</v>
      </c>
      <c r="I214" s="396" t="e">
        <f t="shared" si="85"/>
        <v>#N/A</v>
      </c>
      <c r="J214" s="396" t="e">
        <f>'Captains Info'!O230</f>
        <v>#N/A</v>
      </c>
      <c r="K214" s="396" t="e">
        <f t="shared" si="86"/>
        <v>#N/A</v>
      </c>
      <c r="N214" s="396"/>
      <c r="P214" s="396"/>
    </row>
    <row r="215" spans="1:17" x14ac:dyDescent="0.2">
      <c r="A215" s="395">
        <v>3</v>
      </c>
      <c r="B215" s="395">
        <v>1</v>
      </c>
      <c r="C215" s="9">
        <f>IF('Ballot Entry'!M218&lt;&gt;9999,'Ballot Entry'!M218, "")</f>
        <v>1489</v>
      </c>
      <c r="D215" s="9">
        <f>IF('Ballot Entry'!N218&lt;&gt;9999,'Ballot Entry'!N218, "")</f>
        <v>1224</v>
      </c>
      <c r="E215" s="9">
        <f>IF('Ballot Entry'!$M218&lt;&gt;9999,'Ballot Entry'!O218,"")</f>
        <v>-6</v>
      </c>
      <c r="F215" s="9" t="str">
        <f t="shared" si="90"/>
        <v>D</v>
      </c>
      <c r="G215" s="9">
        <f t="shared" si="87"/>
        <v>6</v>
      </c>
      <c r="H215" s="396" t="e">
        <f>'Captains Info'!N233</f>
        <v>#N/A</v>
      </c>
      <c r="I215" s="396" t="e">
        <f t="shared" si="85"/>
        <v>#N/A</v>
      </c>
      <c r="J215" s="396" t="e">
        <f>'Captains Info'!O233</f>
        <v>#N/A</v>
      </c>
      <c r="K215" s="396" t="e">
        <f t="shared" si="86"/>
        <v>#N/A</v>
      </c>
      <c r="Q215" s="396"/>
    </row>
    <row r="216" spans="1:17" x14ac:dyDescent="0.2">
      <c r="A216" s="395">
        <v>3</v>
      </c>
      <c r="B216" s="395">
        <v>1</v>
      </c>
      <c r="C216" s="9">
        <f>IF('Ballot Entry'!M219&lt;&gt;9999,'Ballot Entry'!M219, "")</f>
        <v>1001</v>
      </c>
      <c r="D216" s="9">
        <f>IF('Ballot Entry'!N219&lt;&gt;9999,'Ballot Entry'!N219, "")</f>
        <v>1577</v>
      </c>
      <c r="E216" s="9">
        <f>IF('Ballot Entry'!$M219&lt;&gt;9999,'Ballot Entry'!O219,"")</f>
        <v>0</v>
      </c>
      <c r="F216" s="9" t="str">
        <f t="shared" si="90"/>
        <v>T</v>
      </c>
      <c r="G216" s="9">
        <f t="shared" si="87"/>
        <v>0</v>
      </c>
      <c r="H216" s="396" t="e">
        <f>'Captains Info'!N236</f>
        <v>#N/A</v>
      </c>
      <c r="I216" s="396" t="e">
        <f t="shared" si="85"/>
        <v>#N/A</v>
      </c>
      <c r="J216" s="396" t="e">
        <f>'Captains Info'!O236</f>
        <v>#N/A</v>
      </c>
      <c r="K216" s="396" t="e">
        <f t="shared" si="86"/>
        <v>#N/A</v>
      </c>
    </row>
    <row r="217" spans="1:17" x14ac:dyDescent="0.2">
      <c r="A217" s="395">
        <v>3</v>
      </c>
      <c r="B217" s="395">
        <v>1</v>
      </c>
      <c r="C217" s="9">
        <f>IF('Ballot Entry'!M220&lt;&gt;9999,'Ballot Entry'!M220, "")</f>
        <v>1517</v>
      </c>
      <c r="D217" s="9">
        <f>IF('Ballot Entry'!N220&lt;&gt;9999,'Ballot Entry'!N220, "")</f>
        <v>1078</v>
      </c>
      <c r="E217" s="9">
        <f>IF('Ballot Entry'!$M220&lt;&gt;9999,'Ballot Entry'!O220,"")</f>
        <v>1</v>
      </c>
      <c r="F217" s="9" t="str">
        <f t="shared" si="90"/>
        <v>P</v>
      </c>
      <c r="G217" s="9">
        <f t="shared" si="87"/>
        <v>1</v>
      </c>
      <c r="H217" s="396" t="e">
        <f>'Captains Info'!N239</f>
        <v>#N/A</v>
      </c>
      <c r="I217" s="396" t="e">
        <f t="shared" si="85"/>
        <v>#N/A</v>
      </c>
      <c r="J217" s="396" t="e">
        <f>'Captains Info'!O239</f>
        <v>#N/A</v>
      </c>
      <c r="K217" s="396" t="e">
        <f t="shared" si="86"/>
        <v>#N/A</v>
      </c>
      <c r="N217" s="396"/>
      <c r="P217" s="396"/>
    </row>
    <row r="218" spans="1:17" x14ac:dyDescent="0.2">
      <c r="A218" s="395">
        <v>3</v>
      </c>
      <c r="B218" s="395">
        <v>1</v>
      </c>
      <c r="C218" s="9">
        <f>IF('Ballot Entry'!M221&lt;&gt;9999,'Ballot Entry'!M221, "")</f>
        <v>1616</v>
      </c>
      <c r="D218" s="9">
        <f>IF('Ballot Entry'!N221&lt;&gt;9999,'Ballot Entry'!N221, "")</f>
        <v>1506</v>
      </c>
      <c r="E218" s="9">
        <f>IF('Ballot Entry'!$M221&lt;&gt;9999,'Ballot Entry'!O221,"")</f>
        <v>-10</v>
      </c>
      <c r="F218" s="9" t="str">
        <f t="shared" si="90"/>
        <v>D</v>
      </c>
      <c r="G218" s="9">
        <f t="shared" si="87"/>
        <v>10</v>
      </c>
      <c r="H218" s="396" t="e">
        <f>'Captains Info'!N242</f>
        <v>#N/A</v>
      </c>
      <c r="I218" s="396" t="e">
        <f t="shared" si="85"/>
        <v>#N/A</v>
      </c>
      <c r="J218" s="396" t="e">
        <f>'Captains Info'!O242</f>
        <v>#N/A</v>
      </c>
      <c r="K218" s="396" t="e">
        <f t="shared" si="86"/>
        <v>#N/A</v>
      </c>
      <c r="Q218" s="396"/>
    </row>
    <row r="219" spans="1:17" x14ac:dyDescent="0.2">
      <c r="A219" s="395">
        <v>3</v>
      </c>
      <c r="B219" s="395">
        <v>1</v>
      </c>
      <c r="C219" s="9">
        <f>IF('Ballot Entry'!M222&lt;&gt;9999,'Ballot Entry'!M222, "")</f>
        <v>1258</v>
      </c>
      <c r="D219" s="9">
        <f>IF('Ballot Entry'!N222&lt;&gt;9999,'Ballot Entry'!N222, "")</f>
        <v>1557</v>
      </c>
      <c r="E219" s="9">
        <f>IF('Ballot Entry'!$M222&lt;&gt;9999,'Ballot Entry'!O222,"")</f>
        <v>-15</v>
      </c>
      <c r="F219" s="9" t="str">
        <f t="shared" si="90"/>
        <v>D</v>
      </c>
      <c r="G219" s="9">
        <f t="shared" si="87"/>
        <v>15</v>
      </c>
      <c r="H219" s="396" t="e">
        <f>'Captains Info'!N245</f>
        <v>#N/A</v>
      </c>
      <c r="I219" s="396" t="e">
        <f t="shared" si="85"/>
        <v>#N/A</v>
      </c>
      <c r="J219" s="396" t="e">
        <f>'Captains Info'!O245</f>
        <v>#N/A</v>
      </c>
      <c r="K219" s="396" t="e">
        <f t="shared" si="86"/>
        <v>#N/A</v>
      </c>
    </row>
    <row r="220" spans="1:17" x14ac:dyDescent="0.2">
      <c r="A220" s="395">
        <v>3</v>
      </c>
      <c r="B220" s="395">
        <v>1</v>
      </c>
      <c r="C220" s="9">
        <f>IF('Ballot Entry'!M223&lt;&gt;9999,'Ballot Entry'!M223, "")</f>
        <v>1262</v>
      </c>
      <c r="D220" s="9">
        <f>IF('Ballot Entry'!N223&lt;&gt;9999,'Ballot Entry'!N223, "")</f>
        <v>1029</v>
      </c>
      <c r="E220" s="9">
        <f>IF('Ballot Entry'!$M223&lt;&gt;9999,'Ballot Entry'!O223,"")</f>
        <v>-3</v>
      </c>
      <c r="F220" s="9" t="str">
        <f t="shared" si="90"/>
        <v>D</v>
      </c>
      <c r="G220" s="9">
        <f t="shared" si="87"/>
        <v>3</v>
      </c>
      <c r="H220" s="396" t="e">
        <f>'Captains Info'!N248</f>
        <v>#N/A</v>
      </c>
      <c r="I220" s="396" t="e">
        <f t="shared" ref="I220:I328" si="168">VLOOKUP(H220,PComb,2,FALSE )</f>
        <v>#N/A</v>
      </c>
      <c r="J220" s="396" t="e">
        <f>'Captains Info'!O248</f>
        <v>#N/A</v>
      </c>
      <c r="K220" s="396" t="e">
        <f t="shared" ref="K220:K328" si="169">VLOOKUP(J220,DComb,2,FALSE )</f>
        <v>#N/A</v>
      </c>
      <c r="N220" s="396"/>
      <c r="P220" s="396"/>
    </row>
    <row r="221" spans="1:17" x14ac:dyDescent="0.2">
      <c r="A221" s="395">
        <v>3</v>
      </c>
      <c r="B221" s="395">
        <v>1</v>
      </c>
      <c r="C221" s="9" t="str">
        <f>IF('Ballot Entry'!M224&lt;&gt;9999,'Ballot Entry'!M224, "")</f>
        <v/>
      </c>
      <c r="D221" s="9" t="str">
        <f>IF('Ballot Entry'!N224&lt;&gt;9999,'Ballot Entry'!N224, "")</f>
        <v/>
      </c>
      <c r="E221" s="9" t="str">
        <f>IF('Ballot Entry'!$M224&lt;&gt;9999,'Ballot Entry'!O224,"")</f>
        <v/>
      </c>
      <c r="F221" s="9" t="e">
        <f t="shared" si="90"/>
        <v>#N/A</v>
      </c>
      <c r="G221" s="9" t="e">
        <f t="shared" ref="G221:G329" si="170">ABS(E221)</f>
        <v>#VALUE!</v>
      </c>
      <c r="H221" s="396" t="e">
        <f>'Captains Info'!N251</f>
        <v>#N/A</v>
      </c>
      <c r="I221" s="396" t="e">
        <f t="shared" si="168"/>
        <v>#N/A</v>
      </c>
      <c r="J221" s="396" t="e">
        <f>'Captains Info'!O251</f>
        <v>#N/A</v>
      </c>
      <c r="K221" s="396" t="e">
        <f t="shared" si="169"/>
        <v>#N/A</v>
      </c>
      <c r="Q221" s="396"/>
    </row>
    <row r="222" spans="1:17" x14ac:dyDescent="0.2">
      <c r="A222" s="395">
        <v>3</v>
      </c>
      <c r="B222" s="395">
        <v>1</v>
      </c>
      <c r="C222" s="9" t="str">
        <f>IF('Ballot Entry'!M225&lt;&gt;9999,'Ballot Entry'!M225, "")</f>
        <v/>
      </c>
      <c r="D222" s="9" t="str">
        <f>IF('Ballot Entry'!N225&lt;&gt;9999,'Ballot Entry'!N225, "")</f>
        <v/>
      </c>
      <c r="E222" s="9" t="str">
        <f>IF('Ballot Entry'!$M225&lt;&gt;9999,'Ballot Entry'!O225,"")</f>
        <v/>
      </c>
      <c r="F222" s="9" t="e">
        <f t="shared" si="90"/>
        <v>#N/A</v>
      </c>
      <c r="G222" s="9" t="e">
        <f t="shared" si="170"/>
        <v>#VALUE!</v>
      </c>
      <c r="H222" s="396" t="e">
        <f>'Captains Info'!N254</f>
        <v>#N/A</v>
      </c>
      <c r="I222" s="396" t="e">
        <f t="shared" si="168"/>
        <v>#N/A</v>
      </c>
      <c r="J222" s="396" t="e">
        <f>'Captains Info'!O254</f>
        <v>#N/A</v>
      </c>
      <c r="K222" s="396" t="e">
        <f t="shared" si="169"/>
        <v>#N/A</v>
      </c>
    </row>
    <row r="223" spans="1:17" x14ac:dyDescent="0.2">
      <c r="A223" s="395">
        <v>3</v>
      </c>
      <c r="B223" s="395">
        <v>1</v>
      </c>
      <c r="C223" s="9" t="str">
        <f>IF('Ballot Entry'!M226&lt;&gt;9999,'Ballot Entry'!M226, "")</f>
        <v/>
      </c>
      <c r="D223" s="9" t="str">
        <f>IF('Ballot Entry'!N226&lt;&gt;9999,'Ballot Entry'!N226, "")</f>
        <v/>
      </c>
      <c r="E223" s="9" t="str">
        <f>IF('Ballot Entry'!$M226&lt;&gt;9999,'Ballot Entry'!O226,"")</f>
        <v/>
      </c>
      <c r="F223" s="9" t="e">
        <f t="shared" si="90"/>
        <v>#N/A</v>
      </c>
      <c r="G223" s="9" t="e">
        <f t="shared" si="170"/>
        <v>#VALUE!</v>
      </c>
      <c r="H223" s="396" t="e">
        <f>'Captains Info'!N257</f>
        <v>#N/A</v>
      </c>
      <c r="I223" s="396" t="e">
        <f t="shared" si="168"/>
        <v>#N/A</v>
      </c>
      <c r="J223" s="396" t="e">
        <f>'Captains Info'!O257</f>
        <v>#N/A</v>
      </c>
      <c r="K223" s="396" t="e">
        <f t="shared" si="169"/>
        <v>#N/A</v>
      </c>
    </row>
    <row r="224" spans="1:17" x14ac:dyDescent="0.2">
      <c r="A224" s="395">
        <v>3</v>
      </c>
      <c r="B224" s="395">
        <v>1</v>
      </c>
      <c r="C224" s="9" t="str">
        <f>IF('Ballot Entry'!M227&lt;&gt;9999,'Ballot Entry'!M227, "")</f>
        <v/>
      </c>
      <c r="D224" s="9" t="str">
        <f>IF('Ballot Entry'!N227&lt;&gt;9999,'Ballot Entry'!N227, "")</f>
        <v/>
      </c>
      <c r="E224" s="9" t="str">
        <f>IF('Ballot Entry'!$M227&lt;&gt;9999,'Ballot Entry'!O227,"")</f>
        <v/>
      </c>
      <c r="F224" s="9" t="e">
        <f t="shared" si="90"/>
        <v>#N/A</v>
      </c>
      <c r="G224" s="9" t="e">
        <f t="shared" si="170"/>
        <v>#VALUE!</v>
      </c>
      <c r="H224" s="396" t="e">
        <f>'Captains Info'!N260</f>
        <v>#N/A</v>
      </c>
      <c r="I224" s="396" t="e">
        <f t="shared" si="168"/>
        <v>#N/A</v>
      </c>
      <c r="J224" s="396" t="e">
        <f>'Captains Info'!O260</f>
        <v>#N/A</v>
      </c>
      <c r="K224" s="396" t="e">
        <f t="shared" si="169"/>
        <v>#N/A</v>
      </c>
      <c r="N224" s="396"/>
      <c r="P224" s="396"/>
      <c r="Q224" s="396"/>
    </row>
    <row r="225" spans="1:17" x14ac:dyDescent="0.2">
      <c r="A225" s="395">
        <v>3</v>
      </c>
      <c r="B225" s="395">
        <v>1</v>
      </c>
      <c r="C225" s="9" t="str">
        <f>IF('Ballot Entry'!M228&lt;&gt;9999,'Ballot Entry'!M228, "")</f>
        <v/>
      </c>
      <c r="D225" s="9" t="str">
        <f>IF('Ballot Entry'!N228&lt;&gt;9999,'Ballot Entry'!N228, "")</f>
        <v/>
      </c>
      <c r="E225" s="9" t="str">
        <f>IF('Ballot Entry'!$M228&lt;&gt;9999,'Ballot Entry'!O228,"")</f>
        <v/>
      </c>
      <c r="F225" s="9" t="e">
        <f t="shared" si="90"/>
        <v>#N/A</v>
      </c>
      <c r="G225" s="9" t="e">
        <f t="shared" si="170"/>
        <v>#VALUE!</v>
      </c>
      <c r="H225" s="396" t="e">
        <f>'Captains Info'!N263</f>
        <v>#N/A</v>
      </c>
      <c r="I225" s="396" t="e">
        <f t="shared" si="168"/>
        <v>#N/A</v>
      </c>
      <c r="J225" s="396" t="e">
        <f>'Captains Info'!O263</f>
        <v>#N/A</v>
      </c>
      <c r="K225" s="396" t="e">
        <f t="shared" si="169"/>
        <v>#N/A</v>
      </c>
    </row>
    <row r="226" spans="1:17" x14ac:dyDescent="0.2">
      <c r="A226" s="395">
        <v>3</v>
      </c>
      <c r="B226" s="395">
        <v>1</v>
      </c>
      <c r="C226" s="9" t="str">
        <f>IF('Ballot Entry'!M229&lt;&gt;9999,'Ballot Entry'!M229, "")</f>
        <v/>
      </c>
      <c r="D226" s="9" t="str">
        <f>IF('Ballot Entry'!N229&lt;&gt;9999,'Ballot Entry'!N229, "")</f>
        <v/>
      </c>
      <c r="E226" s="9" t="str">
        <f>IF('Ballot Entry'!$M229&lt;&gt;9999,'Ballot Entry'!O229,"")</f>
        <v/>
      </c>
      <c r="F226" s="9" t="e">
        <f t="shared" si="90"/>
        <v>#N/A</v>
      </c>
      <c r="G226" s="9" t="e">
        <f t="shared" si="170"/>
        <v>#VALUE!</v>
      </c>
      <c r="H226" s="396" t="e">
        <f>'Captains Info'!N266</f>
        <v>#N/A</v>
      </c>
      <c r="I226" s="396" t="e">
        <f t="shared" si="168"/>
        <v>#N/A</v>
      </c>
      <c r="J226" s="396" t="e">
        <f>'Captains Info'!O266</f>
        <v>#N/A</v>
      </c>
      <c r="K226" s="396" t="e">
        <f t="shared" si="169"/>
        <v>#N/A</v>
      </c>
    </row>
    <row r="227" spans="1:17" x14ac:dyDescent="0.2">
      <c r="A227" s="395">
        <v>3</v>
      </c>
      <c r="B227" s="395">
        <v>1</v>
      </c>
      <c r="C227" s="9" t="str">
        <f>IF('Ballot Entry'!M230&lt;&gt;9999,'Ballot Entry'!M230, "")</f>
        <v/>
      </c>
      <c r="D227" s="9" t="str">
        <f>IF('Ballot Entry'!N230&lt;&gt;9999,'Ballot Entry'!N230, "")</f>
        <v/>
      </c>
      <c r="E227" s="9" t="str">
        <f>IF('Ballot Entry'!$M230&lt;&gt;9999,'Ballot Entry'!O230,"")</f>
        <v/>
      </c>
      <c r="F227" s="9" t="e">
        <f t="shared" si="90"/>
        <v>#N/A</v>
      </c>
      <c r="G227" s="9" t="e">
        <f t="shared" si="170"/>
        <v>#VALUE!</v>
      </c>
      <c r="H227" s="396" t="e">
        <f>'Captains Info'!N269</f>
        <v>#N/A</v>
      </c>
      <c r="I227" s="396" t="e">
        <f t="shared" si="168"/>
        <v>#N/A</v>
      </c>
      <c r="J227" s="396" t="e">
        <f>'Captains Info'!O269</f>
        <v>#N/A</v>
      </c>
      <c r="K227" s="396" t="e">
        <f t="shared" si="169"/>
        <v>#N/A</v>
      </c>
      <c r="Q227" s="396"/>
    </row>
    <row r="228" spans="1:17" x14ac:dyDescent="0.2">
      <c r="A228" s="395">
        <v>3</v>
      </c>
      <c r="B228" s="395">
        <v>1</v>
      </c>
      <c r="C228" s="9" t="str">
        <f>IF('Ballot Entry'!M231&lt;&gt;9999,'Ballot Entry'!M231, "")</f>
        <v/>
      </c>
      <c r="D228" s="9" t="str">
        <f>IF('Ballot Entry'!N231&lt;&gt;9999,'Ballot Entry'!N231, "")</f>
        <v/>
      </c>
      <c r="E228" s="9" t="str">
        <f>IF('Ballot Entry'!$M231&lt;&gt;9999,'Ballot Entry'!O231,"")</f>
        <v/>
      </c>
      <c r="F228" s="9" t="e">
        <f t="shared" si="90"/>
        <v>#N/A</v>
      </c>
      <c r="G228" s="9" t="e">
        <f t="shared" si="170"/>
        <v>#VALUE!</v>
      </c>
      <c r="H228" s="396" t="e">
        <f>'Captains Info'!N272</f>
        <v>#N/A</v>
      </c>
      <c r="I228" s="396" t="e">
        <f t="shared" si="168"/>
        <v>#N/A</v>
      </c>
      <c r="J228" s="396" t="e">
        <f>'Captains Info'!O272</f>
        <v>#N/A</v>
      </c>
      <c r="K228" s="396" t="e">
        <f t="shared" si="169"/>
        <v>#N/A</v>
      </c>
    </row>
    <row r="229" spans="1:17" x14ac:dyDescent="0.2">
      <c r="A229" s="395">
        <v>3</v>
      </c>
      <c r="B229" s="395">
        <v>1</v>
      </c>
      <c r="C229" s="9" t="str">
        <f>IF('Ballot Entry'!M232&lt;&gt;9999,'Ballot Entry'!M232, "")</f>
        <v/>
      </c>
      <c r="D229" s="9" t="str">
        <f>IF('Ballot Entry'!N232&lt;&gt;9999,'Ballot Entry'!N232, "")</f>
        <v/>
      </c>
      <c r="E229" s="9" t="str">
        <f>IF('Ballot Entry'!$M232&lt;&gt;9999,'Ballot Entry'!O232,"")</f>
        <v/>
      </c>
      <c r="F229" s="9" t="e">
        <f t="shared" si="90"/>
        <v>#N/A</v>
      </c>
      <c r="G229" s="9" t="e">
        <f t="shared" si="170"/>
        <v>#VALUE!</v>
      </c>
      <c r="H229" s="396" t="e">
        <f>'Captains Info'!N275</f>
        <v>#N/A</v>
      </c>
      <c r="I229" s="396" t="e">
        <f t="shared" si="168"/>
        <v>#N/A</v>
      </c>
      <c r="J229" s="396" t="e">
        <f>'Captains Info'!O275</f>
        <v>#N/A</v>
      </c>
      <c r="K229" s="396" t="e">
        <f t="shared" si="169"/>
        <v>#N/A</v>
      </c>
    </row>
    <row r="230" spans="1:17" x14ac:dyDescent="0.2">
      <c r="A230" s="395">
        <v>3</v>
      </c>
      <c r="B230" s="395">
        <v>1</v>
      </c>
      <c r="C230" s="9" t="str">
        <f>IF('Ballot Entry'!M233&lt;&gt;9999,'Ballot Entry'!M233, "")</f>
        <v/>
      </c>
      <c r="D230" s="9" t="str">
        <f>IF('Ballot Entry'!N233&lt;&gt;9999,'Ballot Entry'!N233, "")</f>
        <v/>
      </c>
      <c r="E230" s="9" t="str">
        <f>IF('Ballot Entry'!$M233&lt;&gt;9999,'Ballot Entry'!O233,"")</f>
        <v/>
      </c>
      <c r="F230" s="9" t="e">
        <f t="shared" si="90"/>
        <v>#N/A</v>
      </c>
      <c r="G230" s="9" t="e">
        <f t="shared" si="170"/>
        <v>#VALUE!</v>
      </c>
      <c r="H230" s="396" t="e">
        <f>'Captains Info'!N278</f>
        <v>#N/A</v>
      </c>
      <c r="I230" s="396" t="e">
        <f t="shared" si="168"/>
        <v>#N/A</v>
      </c>
      <c r="J230" s="396" t="e">
        <f>'Captains Info'!O278</f>
        <v>#N/A</v>
      </c>
      <c r="K230" s="396" t="e">
        <f t="shared" si="169"/>
        <v>#N/A</v>
      </c>
      <c r="N230" s="396"/>
      <c r="P230" s="396"/>
      <c r="Q230" s="396"/>
    </row>
    <row r="231" spans="1:17" x14ac:dyDescent="0.2">
      <c r="A231" s="395">
        <v>3</v>
      </c>
      <c r="B231" s="395">
        <v>1</v>
      </c>
      <c r="C231" s="9" t="str">
        <f>IF('Ballot Entry'!M234&lt;&gt;9999,'Ballot Entry'!M234, "")</f>
        <v/>
      </c>
      <c r="D231" s="9" t="str">
        <f>IF('Ballot Entry'!N234&lt;&gt;9999,'Ballot Entry'!N234, "")</f>
        <v/>
      </c>
      <c r="E231" s="9" t="str">
        <f>IF('Ballot Entry'!$M234&lt;&gt;9999,'Ballot Entry'!O234,"")</f>
        <v/>
      </c>
      <c r="F231" s="9" t="e">
        <f t="shared" si="90"/>
        <v>#N/A</v>
      </c>
      <c r="G231" s="9" t="e">
        <f t="shared" si="170"/>
        <v>#VALUE!</v>
      </c>
      <c r="H231" s="396" t="e">
        <f>'Captains Info'!N281</f>
        <v>#N/A</v>
      </c>
      <c r="I231" s="396" t="e">
        <f t="shared" ref="I231:I246" si="171">VLOOKUP(H231,PComb,2,FALSE )</f>
        <v>#N/A</v>
      </c>
      <c r="J231" s="396" t="e">
        <f>'Captains Info'!O281</f>
        <v>#N/A</v>
      </c>
      <c r="K231" s="396" t="e">
        <f t="shared" ref="K231:K246" si="172">VLOOKUP(J231,DComb,2,FALSE )</f>
        <v>#N/A</v>
      </c>
    </row>
    <row r="232" spans="1:17" x14ac:dyDescent="0.2">
      <c r="A232" s="395">
        <v>3</v>
      </c>
      <c r="B232" s="395">
        <v>1</v>
      </c>
      <c r="C232" s="9" t="str">
        <f>IF('Ballot Entry'!M235&lt;&gt;9999,'Ballot Entry'!M235, "")</f>
        <v/>
      </c>
      <c r="D232" s="9" t="str">
        <f>IF('Ballot Entry'!N235&lt;&gt;9999,'Ballot Entry'!N235, "")</f>
        <v/>
      </c>
      <c r="E232" s="9" t="str">
        <f>IF('Ballot Entry'!$M235&lt;&gt;9999,'Ballot Entry'!O235,"")</f>
        <v/>
      </c>
      <c r="F232" s="9" t="e">
        <f t="shared" ref="F232:F246" si="173">IF(E232="",NA(),IF(E232&gt;0, "P", IF(E232&lt;0,"D", "T")))</f>
        <v>#N/A</v>
      </c>
      <c r="G232" s="9" t="e">
        <f t="shared" ref="G232:G246" si="174">ABS(E232)</f>
        <v>#VALUE!</v>
      </c>
      <c r="H232" s="396" t="e">
        <f>'Captains Info'!N284</f>
        <v>#N/A</v>
      </c>
      <c r="I232" s="396" t="e">
        <f t="shared" si="171"/>
        <v>#N/A</v>
      </c>
      <c r="J232" s="396" t="e">
        <f>'Captains Info'!O284</f>
        <v>#N/A</v>
      </c>
      <c r="K232" s="396" t="e">
        <f t="shared" si="172"/>
        <v>#N/A</v>
      </c>
    </row>
    <row r="233" spans="1:17" x14ac:dyDescent="0.2">
      <c r="A233" s="395">
        <v>3</v>
      </c>
      <c r="B233" s="395">
        <v>1</v>
      </c>
      <c r="C233" s="9" t="str">
        <f>IF('Ballot Entry'!M236&lt;&gt;9999,'Ballot Entry'!M236, "")</f>
        <v/>
      </c>
      <c r="D233" s="9" t="str">
        <f>IF('Ballot Entry'!N236&lt;&gt;9999,'Ballot Entry'!N236, "")</f>
        <v/>
      </c>
      <c r="E233" s="9" t="str">
        <f>IF('Ballot Entry'!$M236&lt;&gt;9999,'Ballot Entry'!O236,"")</f>
        <v/>
      </c>
      <c r="F233" s="9" t="e">
        <f t="shared" si="173"/>
        <v>#N/A</v>
      </c>
      <c r="G233" s="9" t="e">
        <f t="shared" si="174"/>
        <v>#VALUE!</v>
      </c>
      <c r="H233" s="396" t="e">
        <f>'Captains Info'!N287</f>
        <v>#N/A</v>
      </c>
      <c r="I233" s="396" t="e">
        <f t="shared" si="171"/>
        <v>#N/A</v>
      </c>
      <c r="J233" s="396" t="e">
        <f>'Captains Info'!O287</f>
        <v>#N/A</v>
      </c>
      <c r="K233" s="396" t="e">
        <f t="shared" si="172"/>
        <v>#N/A</v>
      </c>
      <c r="Q233" s="396"/>
    </row>
    <row r="234" spans="1:17" x14ac:dyDescent="0.2">
      <c r="A234" s="395">
        <v>3</v>
      </c>
      <c r="B234" s="395">
        <v>1</v>
      </c>
      <c r="C234" s="9" t="str">
        <f>IF('Ballot Entry'!M237&lt;&gt;9999,'Ballot Entry'!M237, "")</f>
        <v/>
      </c>
      <c r="D234" s="9" t="str">
        <f>IF('Ballot Entry'!N237&lt;&gt;9999,'Ballot Entry'!N237, "")</f>
        <v/>
      </c>
      <c r="E234" s="9" t="str">
        <f>IF('Ballot Entry'!$M237&lt;&gt;9999,'Ballot Entry'!O237,"")</f>
        <v/>
      </c>
      <c r="F234" s="9" t="e">
        <f t="shared" si="173"/>
        <v>#N/A</v>
      </c>
      <c r="G234" s="9" t="e">
        <f t="shared" si="174"/>
        <v>#VALUE!</v>
      </c>
      <c r="H234" s="396" t="e">
        <f>'Captains Info'!N290</f>
        <v>#N/A</v>
      </c>
      <c r="I234" s="396" t="e">
        <f t="shared" si="171"/>
        <v>#N/A</v>
      </c>
      <c r="J234" s="396" t="e">
        <f>'Captains Info'!O290</f>
        <v>#N/A</v>
      </c>
      <c r="K234" s="396" t="e">
        <f t="shared" si="172"/>
        <v>#N/A</v>
      </c>
    </row>
    <row r="235" spans="1:17" x14ac:dyDescent="0.2">
      <c r="A235" s="395">
        <v>3</v>
      </c>
      <c r="B235" s="395">
        <v>1</v>
      </c>
      <c r="C235" s="9" t="str">
        <f>IF('Ballot Entry'!M238&lt;&gt;9999,'Ballot Entry'!M238, "")</f>
        <v/>
      </c>
      <c r="D235" s="9" t="str">
        <f>IF('Ballot Entry'!N238&lt;&gt;9999,'Ballot Entry'!N238, "")</f>
        <v/>
      </c>
      <c r="E235" s="9" t="str">
        <f>IF('Ballot Entry'!$M238&lt;&gt;9999,'Ballot Entry'!O238,"")</f>
        <v/>
      </c>
      <c r="F235" s="9" t="e">
        <f t="shared" si="173"/>
        <v>#N/A</v>
      </c>
      <c r="G235" s="9" t="e">
        <f t="shared" si="174"/>
        <v>#VALUE!</v>
      </c>
      <c r="H235" s="396" t="e">
        <f>'Captains Info'!N293</f>
        <v>#N/A</v>
      </c>
      <c r="I235" s="396" t="e">
        <f t="shared" si="171"/>
        <v>#N/A</v>
      </c>
      <c r="J235" s="396" t="e">
        <f>'Captains Info'!O293</f>
        <v>#N/A</v>
      </c>
      <c r="K235" s="396" t="e">
        <f t="shared" si="172"/>
        <v>#N/A</v>
      </c>
    </row>
    <row r="236" spans="1:17" x14ac:dyDescent="0.2">
      <c r="A236" s="395">
        <v>3</v>
      </c>
      <c r="B236" s="395">
        <v>1</v>
      </c>
      <c r="C236" s="9" t="str">
        <f>IF('Ballot Entry'!M239&lt;&gt;9999,'Ballot Entry'!M239, "")</f>
        <v/>
      </c>
      <c r="D236" s="9" t="str">
        <f>IF('Ballot Entry'!N239&lt;&gt;9999,'Ballot Entry'!N239, "")</f>
        <v/>
      </c>
      <c r="E236" s="9" t="str">
        <f>IF('Ballot Entry'!$M239&lt;&gt;9999,'Ballot Entry'!O239,"")</f>
        <v/>
      </c>
      <c r="F236" s="9" t="e">
        <f t="shared" si="173"/>
        <v>#N/A</v>
      </c>
      <c r="G236" s="9" t="e">
        <f t="shared" si="174"/>
        <v>#VALUE!</v>
      </c>
      <c r="H236" s="396" t="e">
        <f>'Captains Info'!N296</f>
        <v>#N/A</v>
      </c>
      <c r="I236" s="396" t="e">
        <f t="shared" si="171"/>
        <v>#N/A</v>
      </c>
      <c r="J236" s="396" t="e">
        <f>'Captains Info'!O296</f>
        <v>#N/A</v>
      </c>
      <c r="K236" s="396" t="e">
        <f t="shared" si="172"/>
        <v>#N/A</v>
      </c>
      <c r="Q236" s="396"/>
    </row>
    <row r="237" spans="1:17" x14ac:dyDescent="0.2">
      <c r="A237" s="395">
        <v>3</v>
      </c>
      <c r="B237" s="395">
        <v>1</v>
      </c>
      <c r="C237" s="9" t="str">
        <f>IF('Ballot Entry'!M240&lt;&gt;9999,'Ballot Entry'!M240, "")</f>
        <v/>
      </c>
      <c r="D237" s="9" t="str">
        <f>IF('Ballot Entry'!N240&lt;&gt;9999,'Ballot Entry'!N240, "")</f>
        <v/>
      </c>
      <c r="E237" s="9" t="str">
        <f>IF('Ballot Entry'!$M240&lt;&gt;9999,'Ballot Entry'!O240,"")</f>
        <v/>
      </c>
      <c r="F237" s="9" t="e">
        <f t="shared" si="173"/>
        <v>#N/A</v>
      </c>
      <c r="G237" s="9" t="e">
        <f t="shared" si="174"/>
        <v>#VALUE!</v>
      </c>
      <c r="H237" s="396" t="e">
        <f>'Captains Info'!N299</f>
        <v>#N/A</v>
      </c>
      <c r="I237" s="396" t="e">
        <f t="shared" si="171"/>
        <v>#N/A</v>
      </c>
      <c r="J237" s="396" t="e">
        <f>'Captains Info'!O299</f>
        <v>#N/A</v>
      </c>
      <c r="K237" s="396" t="e">
        <f t="shared" si="172"/>
        <v>#N/A</v>
      </c>
    </row>
    <row r="238" spans="1:17" x14ac:dyDescent="0.2">
      <c r="A238" s="395">
        <v>3</v>
      </c>
      <c r="B238" s="395">
        <v>1</v>
      </c>
      <c r="C238" s="9" t="str">
        <f>IF('Ballot Entry'!M241&lt;&gt;9999,'Ballot Entry'!M241, "")</f>
        <v/>
      </c>
      <c r="D238" s="9" t="str">
        <f>IF('Ballot Entry'!N241&lt;&gt;9999,'Ballot Entry'!N241, "")</f>
        <v/>
      </c>
      <c r="E238" s="9" t="str">
        <f>IF('Ballot Entry'!$M241&lt;&gt;9999,'Ballot Entry'!O241,"")</f>
        <v/>
      </c>
      <c r="F238" s="9" t="e">
        <f t="shared" si="173"/>
        <v>#N/A</v>
      </c>
      <c r="G238" s="9" t="e">
        <f t="shared" si="174"/>
        <v>#VALUE!</v>
      </c>
      <c r="H238" s="396" t="e">
        <f>'Captains Info'!N302</f>
        <v>#N/A</v>
      </c>
      <c r="I238" s="396" t="e">
        <f t="shared" si="171"/>
        <v>#N/A</v>
      </c>
      <c r="J238" s="396" t="e">
        <f>'Captains Info'!O302</f>
        <v>#N/A</v>
      </c>
      <c r="K238" s="396" t="e">
        <f t="shared" si="172"/>
        <v>#N/A</v>
      </c>
    </row>
    <row r="239" spans="1:17" x14ac:dyDescent="0.2">
      <c r="A239" s="395">
        <v>3</v>
      </c>
      <c r="B239" s="395">
        <v>1</v>
      </c>
      <c r="C239" s="9" t="str">
        <f>IF('Ballot Entry'!M242&lt;&gt;9999,'Ballot Entry'!M242, "")</f>
        <v/>
      </c>
      <c r="D239" s="9" t="str">
        <f>IF('Ballot Entry'!N242&lt;&gt;9999,'Ballot Entry'!N242, "")</f>
        <v/>
      </c>
      <c r="E239" s="9" t="str">
        <f>IF('Ballot Entry'!$M242&lt;&gt;9999,'Ballot Entry'!O242,"")</f>
        <v/>
      </c>
      <c r="F239" s="9" t="e">
        <f t="shared" si="173"/>
        <v>#N/A</v>
      </c>
      <c r="G239" s="9" t="e">
        <f t="shared" si="174"/>
        <v>#VALUE!</v>
      </c>
      <c r="H239" s="396" t="e">
        <f>'Captains Info'!N305</f>
        <v>#N/A</v>
      </c>
      <c r="I239" s="396" t="e">
        <f t="shared" si="171"/>
        <v>#N/A</v>
      </c>
      <c r="J239" s="396" t="e">
        <f>'Captains Info'!O305</f>
        <v>#N/A</v>
      </c>
      <c r="K239" s="396" t="e">
        <f t="shared" si="172"/>
        <v>#N/A</v>
      </c>
      <c r="Q239" s="396"/>
    </row>
    <row r="240" spans="1:17" x14ac:dyDescent="0.2">
      <c r="A240" s="395">
        <v>3</v>
      </c>
      <c r="B240" s="395">
        <v>1</v>
      </c>
      <c r="C240" s="9" t="str">
        <f>IF('Ballot Entry'!M243&lt;&gt;9999,'Ballot Entry'!M243, "")</f>
        <v/>
      </c>
      <c r="D240" s="9" t="str">
        <f>IF('Ballot Entry'!N243&lt;&gt;9999,'Ballot Entry'!N243, "")</f>
        <v/>
      </c>
      <c r="E240" s="9" t="str">
        <f>IF('Ballot Entry'!$M243&lt;&gt;9999,'Ballot Entry'!O243,"")</f>
        <v/>
      </c>
      <c r="F240" s="9" t="e">
        <f t="shared" si="173"/>
        <v>#N/A</v>
      </c>
      <c r="G240" s="9" t="e">
        <f t="shared" si="174"/>
        <v>#VALUE!</v>
      </c>
      <c r="H240" s="396" t="e">
        <f>'Captains Info'!N308</f>
        <v>#N/A</v>
      </c>
      <c r="I240" s="396" t="e">
        <f t="shared" si="171"/>
        <v>#N/A</v>
      </c>
      <c r="J240" s="396" t="e">
        <f>'Captains Info'!O308</f>
        <v>#N/A</v>
      </c>
      <c r="K240" s="396" t="e">
        <f t="shared" si="172"/>
        <v>#N/A</v>
      </c>
    </row>
    <row r="241" spans="1:17" x14ac:dyDescent="0.2">
      <c r="A241" s="395">
        <v>3</v>
      </c>
      <c r="B241" s="395">
        <v>1</v>
      </c>
      <c r="C241" s="9" t="str">
        <f>IF('Ballot Entry'!M244&lt;&gt;9999,'Ballot Entry'!M244, "")</f>
        <v/>
      </c>
      <c r="D241" s="9" t="str">
        <f>IF('Ballot Entry'!N244&lt;&gt;9999,'Ballot Entry'!N244, "")</f>
        <v/>
      </c>
      <c r="E241" s="9" t="str">
        <f>IF('Ballot Entry'!$M244&lt;&gt;9999,'Ballot Entry'!O244,"")</f>
        <v/>
      </c>
      <c r="F241" s="9" t="e">
        <f t="shared" si="173"/>
        <v>#N/A</v>
      </c>
      <c r="G241" s="9" t="e">
        <f t="shared" si="174"/>
        <v>#VALUE!</v>
      </c>
      <c r="H241" s="396" t="e">
        <f>'Captains Info'!N311</f>
        <v>#N/A</v>
      </c>
      <c r="I241" s="396" t="e">
        <f t="shared" si="171"/>
        <v>#N/A</v>
      </c>
      <c r="J241" s="396" t="e">
        <f>'Captains Info'!O311</f>
        <v>#N/A</v>
      </c>
      <c r="K241" s="396" t="e">
        <f t="shared" si="172"/>
        <v>#N/A</v>
      </c>
    </row>
    <row r="242" spans="1:17" x14ac:dyDescent="0.2">
      <c r="A242" s="395">
        <v>3</v>
      </c>
      <c r="B242" s="395">
        <v>1</v>
      </c>
      <c r="C242" s="9" t="str">
        <f>IF('Ballot Entry'!M245&lt;&gt;9999,'Ballot Entry'!M245, "")</f>
        <v/>
      </c>
      <c r="D242" s="9" t="str">
        <f>IF('Ballot Entry'!N245&lt;&gt;9999,'Ballot Entry'!N245, "")</f>
        <v/>
      </c>
      <c r="E242" s="9" t="str">
        <f>IF('Ballot Entry'!$M245&lt;&gt;9999,'Ballot Entry'!O245,"")</f>
        <v/>
      </c>
      <c r="F242" s="9" t="e">
        <f t="shared" si="173"/>
        <v>#N/A</v>
      </c>
      <c r="G242" s="9" t="e">
        <f t="shared" si="174"/>
        <v>#VALUE!</v>
      </c>
      <c r="H242" s="396" t="e">
        <f>'Captains Info'!N314</f>
        <v>#N/A</v>
      </c>
      <c r="I242" s="396" t="e">
        <f t="shared" si="171"/>
        <v>#N/A</v>
      </c>
      <c r="J242" s="396" t="e">
        <f>'Captains Info'!O314</f>
        <v>#N/A</v>
      </c>
      <c r="K242" s="396" t="e">
        <f t="shared" si="172"/>
        <v>#N/A</v>
      </c>
      <c r="Q242" s="396"/>
    </row>
    <row r="243" spans="1:17" x14ac:dyDescent="0.2">
      <c r="A243" s="395">
        <v>3</v>
      </c>
      <c r="B243" s="395">
        <v>1</v>
      </c>
      <c r="C243" s="9" t="str">
        <f>IF('Ballot Entry'!M246&lt;&gt;9999,'Ballot Entry'!M246, "")</f>
        <v/>
      </c>
      <c r="D243" s="9" t="str">
        <f>IF('Ballot Entry'!N246&lt;&gt;9999,'Ballot Entry'!N246, "")</f>
        <v/>
      </c>
      <c r="E243" s="9" t="str">
        <f>IF('Ballot Entry'!$M246&lt;&gt;9999,'Ballot Entry'!O246,"")</f>
        <v/>
      </c>
      <c r="F243" s="9" t="e">
        <f t="shared" si="173"/>
        <v>#N/A</v>
      </c>
      <c r="G243" s="9" t="e">
        <f t="shared" si="174"/>
        <v>#VALUE!</v>
      </c>
      <c r="H243" s="396" t="e">
        <f>'Captains Info'!N317</f>
        <v>#N/A</v>
      </c>
      <c r="I243" s="396" t="e">
        <f t="shared" si="171"/>
        <v>#N/A</v>
      </c>
      <c r="J243" s="396" t="e">
        <f>'Captains Info'!O317</f>
        <v>#N/A</v>
      </c>
      <c r="K243" s="396" t="e">
        <f t="shared" si="172"/>
        <v>#N/A</v>
      </c>
    </row>
    <row r="244" spans="1:17" x14ac:dyDescent="0.2">
      <c r="A244" s="395">
        <v>3</v>
      </c>
      <c r="B244" s="395">
        <v>1</v>
      </c>
      <c r="C244" s="9" t="str">
        <f>IF('Ballot Entry'!M247&lt;&gt;9999,'Ballot Entry'!M247, "")</f>
        <v/>
      </c>
      <c r="D244" s="9" t="str">
        <f>IF('Ballot Entry'!N247&lt;&gt;9999,'Ballot Entry'!N247, "")</f>
        <v/>
      </c>
      <c r="E244" s="9" t="str">
        <f>IF('Ballot Entry'!$M247&lt;&gt;9999,'Ballot Entry'!O247,"")</f>
        <v/>
      </c>
      <c r="F244" s="9" t="e">
        <f t="shared" si="173"/>
        <v>#N/A</v>
      </c>
      <c r="G244" s="9" t="e">
        <f t="shared" si="174"/>
        <v>#VALUE!</v>
      </c>
      <c r="H244" s="396" t="e">
        <f>'Captains Info'!N320</f>
        <v>#N/A</v>
      </c>
      <c r="I244" s="396" t="e">
        <f t="shared" si="171"/>
        <v>#N/A</v>
      </c>
      <c r="J244" s="396" t="e">
        <f>'Captains Info'!O320</f>
        <v>#N/A</v>
      </c>
      <c r="K244" s="396" t="e">
        <f t="shared" si="172"/>
        <v>#N/A</v>
      </c>
    </row>
    <row r="245" spans="1:17" x14ac:dyDescent="0.2">
      <c r="A245" s="395">
        <v>3</v>
      </c>
      <c r="B245" s="395">
        <v>1</v>
      </c>
      <c r="C245" s="9" t="str">
        <f>IF('Ballot Entry'!M248&lt;&gt;9999,'Ballot Entry'!M248, "")</f>
        <v/>
      </c>
      <c r="D245" s="9" t="str">
        <f>IF('Ballot Entry'!N248&lt;&gt;9999,'Ballot Entry'!N248, "")</f>
        <v/>
      </c>
      <c r="E245" s="9" t="str">
        <f>IF('Ballot Entry'!$M248&lt;&gt;9999,'Ballot Entry'!O248,"")</f>
        <v/>
      </c>
      <c r="F245" s="9" t="e">
        <f t="shared" si="173"/>
        <v>#N/A</v>
      </c>
      <c r="G245" s="9" t="e">
        <f t="shared" si="174"/>
        <v>#VALUE!</v>
      </c>
      <c r="H245" s="396" t="e">
        <f>'Captains Info'!N323</f>
        <v>#N/A</v>
      </c>
      <c r="I245" s="396" t="e">
        <f t="shared" si="171"/>
        <v>#N/A</v>
      </c>
      <c r="J245" s="396" t="e">
        <f>'Captains Info'!O323</f>
        <v>#N/A</v>
      </c>
      <c r="K245" s="396" t="e">
        <f t="shared" si="172"/>
        <v>#N/A</v>
      </c>
      <c r="Q245" s="396"/>
    </row>
    <row r="246" spans="1:17" x14ac:dyDescent="0.2">
      <c r="A246" s="395">
        <v>3</v>
      </c>
      <c r="B246" s="395">
        <v>1</v>
      </c>
      <c r="C246" s="9" t="str">
        <f>IF('Ballot Entry'!M249&lt;&gt;9999,'Ballot Entry'!M249, "")</f>
        <v/>
      </c>
      <c r="D246" s="9" t="str">
        <f>IF('Ballot Entry'!N249&lt;&gt;9999,'Ballot Entry'!N249, "")</f>
        <v/>
      </c>
      <c r="E246" s="9" t="str">
        <f>IF('Ballot Entry'!$M249&lt;&gt;9999,'Ballot Entry'!O249,"")</f>
        <v/>
      </c>
      <c r="F246" s="9" t="e">
        <f t="shared" si="173"/>
        <v>#N/A</v>
      </c>
      <c r="G246" s="9" t="e">
        <f t="shared" si="174"/>
        <v>#VALUE!</v>
      </c>
      <c r="H246" s="396" t="e">
        <f>'Captains Info'!N326</f>
        <v>#N/A</v>
      </c>
      <c r="I246" s="396" t="e">
        <f t="shared" si="171"/>
        <v>#N/A</v>
      </c>
      <c r="J246" s="396" t="e">
        <f>'Captains Info'!O326</f>
        <v>#N/A</v>
      </c>
      <c r="K246" s="396" t="e">
        <f t="shared" si="172"/>
        <v>#N/A</v>
      </c>
    </row>
    <row r="247" spans="1:17" x14ac:dyDescent="0.2">
      <c r="A247" s="395">
        <v>3</v>
      </c>
      <c r="B247" s="395">
        <v>2</v>
      </c>
      <c r="C247" s="9">
        <f>IF('Ballot Entry'!M215&lt;&gt;9999,'Ballot Entry'!M215, "")</f>
        <v>1268</v>
      </c>
      <c r="D247" s="9">
        <f>IF('Ballot Entry'!N215&lt;&gt;9999,'Ballot Entry'!N215, "")</f>
        <v>1051</v>
      </c>
      <c r="E247" s="9">
        <f>IF('Ballot Entry'!$M215&lt;&gt;9999,'Ballot Entry'!P215,"")</f>
        <v>15</v>
      </c>
      <c r="F247" s="9" t="str">
        <f t="shared" ref="F247:F355" si="175">IF(E247="",NA(),IF(E247&gt;0, "P", IF(E247&lt;0,"D", "T")))</f>
        <v>P</v>
      </c>
      <c r="G247" s="9">
        <f t="shared" si="170"/>
        <v>15</v>
      </c>
      <c r="H247" s="395" t="e">
        <f>H212</f>
        <v>#N/A</v>
      </c>
      <c r="I247" s="395" t="e">
        <f t="shared" ref="I247:K247" si="176">I212</f>
        <v>#N/A</v>
      </c>
      <c r="J247" s="395" t="e">
        <f t="shared" si="176"/>
        <v>#N/A</v>
      </c>
      <c r="K247" s="395" t="e">
        <f t="shared" si="176"/>
        <v>#N/A</v>
      </c>
    </row>
    <row r="248" spans="1:17" x14ac:dyDescent="0.2">
      <c r="A248" s="395">
        <v>3</v>
      </c>
      <c r="B248" s="395">
        <v>2</v>
      </c>
      <c r="C248" s="9">
        <f>IF('Ballot Entry'!M216&lt;&gt;9999,'Ballot Entry'!M216, "")</f>
        <v>1693</v>
      </c>
      <c r="D248" s="9">
        <f>IF('Ballot Entry'!N216&lt;&gt;9999,'Ballot Entry'!N216, "")</f>
        <v>1492</v>
      </c>
      <c r="E248" s="9">
        <f>IF('Ballot Entry'!$M216&lt;&gt;9999,'Ballot Entry'!P216,"")</f>
        <v>-9</v>
      </c>
      <c r="F248" s="9" t="str">
        <f t="shared" si="175"/>
        <v>D</v>
      </c>
      <c r="G248" s="9">
        <f t="shared" si="170"/>
        <v>9</v>
      </c>
      <c r="H248" s="395" t="e">
        <f t="shared" ref="H248:K248" si="177">H213</f>
        <v>#N/A</v>
      </c>
      <c r="I248" s="395" t="e">
        <f t="shared" si="177"/>
        <v>#N/A</v>
      </c>
      <c r="J248" s="395" t="e">
        <f t="shared" si="177"/>
        <v>#N/A</v>
      </c>
      <c r="K248" s="395" t="e">
        <f t="shared" si="177"/>
        <v>#N/A</v>
      </c>
      <c r="Q248" s="396"/>
    </row>
    <row r="249" spans="1:17" x14ac:dyDescent="0.2">
      <c r="A249" s="395">
        <v>3</v>
      </c>
      <c r="B249" s="395">
        <v>2</v>
      </c>
      <c r="C249" s="9">
        <f>IF('Ballot Entry'!M217&lt;&gt;9999,'Ballot Entry'!M217, "")</f>
        <v>1217</v>
      </c>
      <c r="D249" s="9">
        <f>IF('Ballot Entry'!N217&lt;&gt;9999,'Ballot Entry'!N217, "")</f>
        <v>1410</v>
      </c>
      <c r="E249" s="9">
        <f>IF('Ballot Entry'!$M217&lt;&gt;9999,'Ballot Entry'!P217,"")</f>
        <v>0</v>
      </c>
      <c r="F249" s="9" t="str">
        <f t="shared" si="175"/>
        <v>T</v>
      </c>
      <c r="G249" s="9">
        <f t="shared" si="170"/>
        <v>0</v>
      </c>
      <c r="H249" s="395" t="e">
        <f t="shared" ref="H249:K249" si="178">H214</f>
        <v>#N/A</v>
      </c>
      <c r="I249" s="395" t="e">
        <f t="shared" si="178"/>
        <v>#N/A</v>
      </c>
      <c r="J249" s="395" t="e">
        <f t="shared" si="178"/>
        <v>#N/A</v>
      </c>
      <c r="K249" s="395" t="e">
        <f t="shared" si="178"/>
        <v>#N/A</v>
      </c>
    </row>
    <row r="250" spans="1:17" x14ac:dyDescent="0.2">
      <c r="A250" s="395">
        <v>3</v>
      </c>
      <c r="B250" s="395">
        <v>2</v>
      </c>
      <c r="C250" s="9">
        <f>IF('Ballot Entry'!M218&lt;&gt;9999,'Ballot Entry'!M218, "")</f>
        <v>1489</v>
      </c>
      <c r="D250" s="9">
        <f>IF('Ballot Entry'!N218&lt;&gt;9999,'Ballot Entry'!N218, "")</f>
        <v>1224</v>
      </c>
      <c r="E250" s="9">
        <f>IF('Ballot Entry'!$M218&lt;&gt;9999,'Ballot Entry'!P218,"")</f>
        <v>-10</v>
      </c>
      <c r="F250" s="9" t="str">
        <f t="shared" si="175"/>
        <v>D</v>
      </c>
      <c r="G250" s="9">
        <f t="shared" si="170"/>
        <v>10</v>
      </c>
      <c r="H250" s="395" t="e">
        <f t="shared" ref="H250:K250" si="179">H215</f>
        <v>#N/A</v>
      </c>
      <c r="I250" s="395" t="e">
        <f t="shared" si="179"/>
        <v>#N/A</v>
      </c>
      <c r="J250" s="395" t="e">
        <f t="shared" si="179"/>
        <v>#N/A</v>
      </c>
      <c r="K250" s="395" t="e">
        <f t="shared" si="179"/>
        <v>#N/A</v>
      </c>
    </row>
    <row r="251" spans="1:17" x14ac:dyDescent="0.2">
      <c r="A251" s="395">
        <v>3</v>
      </c>
      <c r="B251" s="395">
        <v>2</v>
      </c>
      <c r="C251" s="9">
        <f>IF('Ballot Entry'!M219&lt;&gt;9999,'Ballot Entry'!M219, "")</f>
        <v>1001</v>
      </c>
      <c r="D251" s="9">
        <f>IF('Ballot Entry'!N219&lt;&gt;9999,'Ballot Entry'!N219, "")</f>
        <v>1577</v>
      </c>
      <c r="E251" s="9">
        <f>IF('Ballot Entry'!$M219&lt;&gt;9999,'Ballot Entry'!P219,"")</f>
        <v>-5</v>
      </c>
      <c r="F251" s="9" t="str">
        <f t="shared" si="175"/>
        <v>D</v>
      </c>
      <c r="G251" s="9">
        <f t="shared" si="170"/>
        <v>5</v>
      </c>
      <c r="H251" s="395" t="e">
        <f t="shared" ref="H251:K251" si="180">H216</f>
        <v>#N/A</v>
      </c>
      <c r="I251" s="395" t="e">
        <f t="shared" si="180"/>
        <v>#N/A</v>
      </c>
      <c r="J251" s="395" t="e">
        <f t="shared" si="180"/>
        <v>#N/A</v>
      </c>
      <c r="K251" s="395" t="e">
        <f t="shared" si="180"/>
        <v>#N/A</v>
      </c>
      <c r="Q251" s="396"/>
    </row>
    <row r="252" spans="1:17" x14ac:dyDescent="0.2">
      <c r="A252" s="395">
        <v>3</v>
      </c>
      <c r="B252" s="395">
        <v>2</v>
      </c>
      <c r="C252" s="9">
        <f>IF('Ballot Entry'!M220&lt;&gt;9999,'Ballot Entry'!M220, "")</f>
        <v>1517</v>
      </c>
      <c r="D252" s="9">
        <f>IF('Ballot Entry'!N220&lt;&gt;9999,'Ballot Entry'!N220, "")</f>
        <v>1078</v>
      </c>
      <c r="E252" s="9">
        <f>IF('Ballot Entry'!$M220&lt;&gt;9999,'Ballot Entry'!P220,"")</f>
        <v>0</v>
      </c>
      <c r="F252" s="9" t="str">
        <f t="shared" si="175"/>
        <v>T</v>
      </c>
      <c r="G252" s="9">
        <f t="shared" si="170"/>
        <v>0</v>
      </c>
      <c r="H252" s="395" t="e">
        <f t="shared" ref="H252:K252" si="181">H217</f>
        <v>#N/A</v>
      </c>
      <c r="I252" s="395" t="e">
        <f t="shared" si="181"/>
        <v>#N/A</v>
      </c>
      <c r="J252" s="395" t="e">
        <f t="shared" si="181"/>
        <v>#N/A</v>
      </c>
      <c r="K252" s="395" t="e">
        <f t="shared" si="181"/>
        <v>#N/A</v>
      </c>
    </row>
    <row r="253" spans="1:17" x14ac:dyDescent="0.2">
      <c r="A253" s="395">
        <v>3</v>
      </c>
      <c r="B253" s="395">
        <v>2</v>
      </c>
      <c r="C253" s="9">
        <f>IF('Ballot Entry'!M221&lt;&gt;9999,'Ballot Entry'!M221, "")</f>
        <v>1616</v>
      </c>
      <c r="D253" s="9">
        <f>IF('Ballot Entry'!N221&lt;&gt;9999,'Ballot Entry'!N221, "")</f>
        <v>1506</v>
      </c>
      <c r="E253" s="9">
        <f>IF('Ballot Entry'!$M221&lt;&gt;9999,'Ballot Entry'!P221,"")</f>
        <v>11</v>
      </c>
      <c r="F253" s="9" t="str">
        <f t="shared" si="175"/>
        <v>P</v>
      </c>
      <c r="G253" s="9">
        <f t="shared" si="170"/>
        <v>11</v>
      </c>
      <c r="H253" s="395" t="e">
        <f t="shared" ref="H253:K253" si="182">H218</f>
        <v>#N/A</v>
      </c>
      <c r="I253" s="395" t="e">
        <f t="shared" si="182"/>
        <v>#N/A</v>
      </c>
      <c r="J253" s="395" t="e">
        <f t="shared" si="182"/>
        <v>#N/A</v>
      </c>
      <c r="K253" s="395" t="e">
        <f t="shared" si="182"/>
        <v>#N/A</v>
      </c>
    </row>
    <row r="254" spans="1:17" x14ac:dyDescent="0.2">
      <c r="A254" s="395">
        <v>3</v>
      </c>
      <c r="B254" s="395">
        <v>2</v>
      </c>
      <c r="C254" s="9">
        <f>IF('Ballot Entry'!M222&lt;&gt;9999,'Ballot Entry'!M222, "")</f>
        <v>1258</v>
      </c>
      <c r="D254" s="9">
        <f>IF('Ballot Entry'!N222&lt;&gt;9999,'Ballot Entry'!N222, "")</f>
        <v>1557</v>
      </c>
      <c r="E254" s="9">
        <f>IF('Ballot Entry'!$M222&lt;&gt;9999,'Ballot Entry'!P222,"")</f>
        <v>-2</v>
      </c>
      <c r="F254" s="9" t="str">
        <f t="shared" si="175"/>
        <v>D</v>
      </c>
      <c r="G254" s="9">
        <f t="shared" si="170"/>
        <v>2</v>
      </c>
      <c r="H254" s="395" t="e">
        <f t="shared" ref="H254:K254" si="183">H219</f>
        <v>#N/A</v>
      </c>
      <c r="I254" s="395" t="e">
        <f t="shared" si="183"/>
        <v>#N/A</v>
      </c>
      <c r="J254" s="395" t="e">
        <f t="shared" si="183"/>
        <v>#N/A</v>
      </c>
      <c r="K254" s="395" t="e">
        <f t="shared" si="183"/>
        <v>#N/A</v>
      </c>
      <c r="Q254" s="396"/>
    </row>
    <row r="255" spans="1:17" x14ac:dyDescent="0.2">
      <c r="A255" s="395">
        <v>3</v>
      </c>
      <c r="B255" s="395">
        <v>2</v>
      </c>
      <c r="C255" s="9">
        <f>IF('Ballot Entry'!M223&lt;&gt;9999,'Ballot Entry'!M223, "")</f>
        <v>1262</v>
      </c>
      <c r="D255" s="9">
        <f>IF('Ballot Entry'!N223&lt;&gt;9999,'Ballot Entry'!N223, "")</f>
        <v>1029</v>
      </c>
      <c r="E255" s="9">
        <f>IF('Ballot Entry'!$M223&lt;&gt;9999,'Ballot Entry'!P223,"")</f>
        <v>-14</v>
      </c>
      <c r="F255" s="9" t="str">
        <f t="shared" si="175"/>
        <v>D</v>
      </c>
      <c r="G255" s="9">
        <f t="shared" si="170"/>
        <v>14</v>
      </c>
      <c r="H255" s="395" t="e">
        <f t="shared" ref="H255:K255" si="184">H220</f>
        <v>#N/A</v>
      </c>
      <c r="I255" s="395" t="e">
        <f t="shared" si="184"/>
        <v>#N/A</v>
      </c>
      <c r="J255" s="395" t="e">
        <f t="shared" si="184"/>
        <v>#N/A</v>
      </c>
      <c r="K255" s="395" t="e">
        <f t="shared" si="184"/>
        <v>#N/A</v>
      </c>
    </row>
    <row r="256" spans="1:17" x14ac:dyDescent="0.2">
      <c r="A256" s="395">
        <v>3</v>
      </c>
      <c r="B256" s="395">
        <v>2</v>
      </c>
      <c r="C256" s="9" t="str">
        <f>IF('Ballot Entry'!M224&lt;&gt;9999,'Ballot Entry'!M224, "")</f>
        <v/>
      </c>
      <c r="D256" s="9" t="str">
        <f>IF('Ballot Entry'!N224&lt;&gt;9999,'Ballot Entry'!N224, "")</f>
        <v/>
      </c>
      <c r="E256" s="9" t="str">
        <f>IF('Ballot Entry'!$M224&lt;&gt;9999,'Ballot Entry'!P224,"")</f>
        <v/>
      </c>
      <c r="F256" s="9" t="e">
        <f t="shared" si="175"/>
        <v>#N/A</v>
      </c>
      <c r="G256" s="9" t="e">
        <f t="shared" si="170"/>
        <v>#VALUE!</v>
      </c>
      <c r="H256" s="395" t="e">
        <f t="shared" ref="H256:K256" si="185">H221</f>
        <v>#N/A</v>
      </c>
      <c r="I256" s="395" t="e">
        <f t="shared" si="185"/>
        <v>#N/A</v>
      </c>
      <c r="J256" s="395" t="e">
        <f t="shared" si="185"/>
        <v>#N/A</v>
      </c>
      <c r="K256" s="395" t="e">
        <f t="shared" si="185"/>
        <v>#N/A</v>
      </c>
    </row>
    <row r="257" spans="1:17" x14ac:dyDescent="0.2">
      <c r="A257" s="395">
        <v>3</v>
      </c>
      <c r="B257" s="395">
        <v>2</v>
      </c>
      <c r="C257" s="9" t="str">
        <f>IF('Ballot Entry'!M225&lt;&gt;9999,'Ballot Entry'!M225, "")</f>
        <v/>
      </c>
      <c r="D257" s="9" t="str">
        <f>IF('Ballot Entry'!N225&lt;&gt;9999,'Ballot Entry'!N225, "")</f>
        <v/>
      </c>
      <c r="E257" s="9" t="str">
        <f>IF('Ballot Entry'!$M225&lt;&gt;9999,'Ballot Entry'!P225,"")</f>
        <v/>
      </c>
      <c r="F257" s="9" t="e">
        <f t="shared" si="175"/>
        <v>#N/A</v>
      </c>
      <c r="G257" s="9" t="e">
        <f t="shared" si="170"/>
        <v>#VALUE!</v>
      </c>
      <c r="H257" s="395" t="e">
        <f t="shared" ref="H257:K257" si="186">H222</f>
        <v>#N/A</v>
      </c>
      <c r="I257" s="395" t="e">
        <f t="shared" si="186"/>
        <v>#N/A</v>
      </c>
      <c r="J257" s="395" t="e">
        <f t="shared" si="186"/>
        <v>#N/A</v>
      </c>
      <c r="K257" s="395" t="e">
        <f t="shared" si="186"/>
        <v>#N/A</v>
      </c>
      <c r="Q257" s="396"/>
    </row>
    <row r="258" spans="1:17" x14ac:dyDescent="0.2">
      <c r="A258" s="395">
        <v>3</v>
      </c>
      <c r="B258" s="395">
        <v>2</v>
      </c>
      <c r="C258" s="9" t="str">
        <f>IF('Ballot Entry'!M226&lt;&gt;9999,'Ballot Entry'!M226, "")</f>
        <v/>
      </c>
      <c r="D258" s="9" t="str">
        <f>IF('Ballot Entry'!N226&lt;&gt;9999,'Ballot Entry'!N226, "")</f>
        <v/>
      </c>
      <c r="E258" s="9" t="str">
        <f>IF('Ballot Entry'!$M226&lt;&gt;9999,'Ballot Entry'!P226,"")</f>
        <v/>
      </c>
      <c r="F258" s="9" t="e">
        <f t="shared" si="175"/>
        <v>#N/A</v>
      </c>
      <c r="G258" s="9" t="e">
        <f t="shared" si="170"/>
        <v>#VALUE!</v>
      </c>
      <c r="H258" s="395" t="e">
        <f t="shared" ref="H258:K258" si="187">H223</f>
        <v>#N/A</v>
      </c>
      <c r="I258" s="395" t="e">
        <f t="shared" si="187"/>
        <v>#N/A</v>
      </c>
      <c r="J258" s="395" t="e">
        <f t="shared" si="187"/>
        <v>#N/A</v>
      </c>
      <c r="K258" s="395" t="e">
        <f t="shared" si="187"/>
        <v>#N/A</v>
      </c>
    </row>
    <row r="259" spans="1:17" x14ac:dyDescent="0.2">
      <c r="A259" s="395">
        <v>3</v>
      </c>
      <c r="B259" s="395">
        <v>2</v>
      </c>
      <c r="C259" s="9" t="str">
        <f>IF('Ballot Entry'!M227&lt;&gt;9999,'Ballot Entry'!M227, "")</f>
        <v/>
      </c>
      <c r="D259" s="9" t="str">
        <f>IF('Ballot Entry'!N227&lt;&gt;9999,'Ballot Entry'!N227, "")</f>
        <v/>
      </c>
      <c r="E259" s="9" t="str">
        <f>IF('Ballot Entry'!$M227&lt;&gt;9999,'Ballot Entry'!P227,"")</f>
        <v/>
      </c>
      <c r="F259" s="9" t="e">
        <f t="shared" si="175"/>
        <v>#N/A</v>
      </c>
      <c r="G259" s="9" t="e">
        <f t="shared" si="170"/>
        <v>#VALUE!</v>
      </c>
      <c r="H259" s="395" t="e">
        <f t="shared" ref="H259:K259" si="188">H224</f>
        <v>#N/A</v>
      </c>
      <c r="I259" s="395" t="e">
        <f t="shared" si="188"/>
        <v>#N/A</v>
      </c>
      <c r="J259" s="395" t="e">
        <f t="shared" si="188"/>
        <v>#N/A</v>
      </c>
      <c r="K259" s="395" t="e">
        <f t="shared" si="188"/>
        <v>#N/A</v>
      </c>
    </row>
    <row r="260" spans="1:17" x14ac:dyDescent="0.2">
      <c r="A260" s="395">
        <v>3</v>
      </c>
      <c r="B260" s="395">
        <v>2</v>
      </c>
      <c r="C260" s="9" t="str">
        <f>IF('Ballot Entry'!M228&lt;&gt;9999,'Ballot Entry'!M228, "")</f>
        <v/>
      </c>
      <c r="D260" s="9" t="str">
        <f>IF('Ballot Entry'!N228&lt;&gt;9999,'Ballot Entry'!N228, "")</f>
        <v/>
      </c>
      <c r="E260" s="9" t="str">
        <f>IF('Ballot Entry'!$M228&lt;&gt;9999,'Ballot Entry'!P228,"")</f>
        <v/>
      </c>
      <c r="F260" s="9" t="e">
        <f t="shared" si="175"/>
        <v>#N/A</v>
      </c>
      <c r="G260" s="9" t="e">
        <f t="shared" si="170"/>
        <v>#VALUE!</v>
      </c>
      <c r="H260" s="395" t="e">
        <f t="shared" ref="H260:K260" si="189">H225</f>
        <v>#N/A</v>
      </c>
      <c r="I260" s="395" t="e">
        <f t="shared" si="189"/>
        <v>#N/A</v>
      </c>
      <c r="J260" s="395" t="e">
        <f t="shared" si="189"/>
        <v>#N/A</v>
      </c>
      <c r="K260" s="395" t="e">
        <f t="shared" si="189"/>
        <v>#N/A</v>
      </c>
      <c r="Q260" s="396"/>
    </row>
    <row r="261" spans="1:17" x14ac:dyDescent="0.2">
      <c r="A261" s="395">
        <v>3</v>
      </c>
      <c r="B261" s="395">
        <v>2</v>
      </c>
      <c r="C261" s="9" t="str">
        <f>IF('Ballot Entry'!M229&lt;&gt;9999,'Ballot Entry'!M229, "")</f>
        <v/>
      </c>
      <c r="D261" s="9" t="str">
        <f>IF('Ballot Entry'!N229&lt;&gt;9999,'Ballot Entry'!N229, "")</f>
        <v/>
      </c>
      <c r="E261" s="9" t="str">
        <f>IF('Ballot Entry'!$M229&lt;&gt;9999,'Ballot Entry'!P229,"")</f>
        <v/>
      </c>
      <c r="F261" s="9" t="e">
        <f t="shared" si="175"/>
        <v>#N/A</v>
      </c>
      <c r="G261" s="9" t="e">
        <f t="shared" si="170"/>
        <v>#VALUE!</v>
      </c>
      <c r="H261" s="395" t="e">
        <f t="shared" ref="H261:K261" si="190">H226</f>
        <v>#N/A</v>
      </c>
      <c r="I261" s="395" t="e">
        <f t="shared" si="190"/>
        <v>#N/A</v>
      </c>
      <c r="J261" s="395" t="e">
        <f t="shared" si="190"/>
        <v>#N/A</v>
      </c>
      <c r="K261" s="395" t="e">
        <f t="shared" si="190"/>
        <v>#N/A</v>
      </c>
    </row>
    <row r="262" spans="1:17" x14ac:dyDescent="0.2">
      <c r="A262" s="395">
        <v>3</v>
      </c>
      <c r="B262" s="395">
        <v>2</v>
      </c>
      <c r="C262" s="9" t="str">
        <f>IF('Ballot Entry'!M230&lt;&gt;9999,'Ballot Entry'!M230, "")</f>
        <v/>
      </c>
      <c r="D262" s="9" t="str">
        <f>IF('Ballot Entry'!N230&lt;&gt;9999,'Ballot Entry'!N230, "")</f>
        <v/>
      </c>
      <c r="E262" s="9" t="str">
        <f>IF('Ballot Entry'!$M230&lt;&gt;9999,'Ballot Entry'!P230,"")</f>
        <v/>
      </c>
      <c r="F262" s="9" t="e">
        <f t="shared" si="175"/>
        <v>#N/A</v>
      </c>
      <c r="G262" s="9" t="e">
        <f t="shared" si="170"/>
        <v>#VALUE!</v>
      </c>
      <c r="H262" s="395" t="e">
        <f t="shared" ref="H262:K262" si="191">H227</f>
        <v>#N/A</v>
      </c>
      <c r="I262" s="395" t="e">
        <f t="shared" si="191"/>
        <v>#N/A</v>
      </c>
      <c r="J262" s="395" t="e">
        <f t="shared" si="191"/>
        <v>#N/A</v>
      </c>
      <c r="K262" s="395" t="e">
        <f t="shared" si="191"/>
        <v>#N/A</v>
      </c>
    </row>
    <row r="263" spans="1:17" x14ac:dyDescent="0.2">
      <c r="A263" s="395">
        <v>3</v>
      </c>
      <c r="B263" s="395">
        <v>2</v>
      </c>
      <c r="C263" s="9" t="str">
        <f>IF('Ballot Entry'!M231&lt;&gt;9999,'Ballot Entry'!M231, "")</f>
        <v/>
      </c>
      <c r="D263" s="9" t="str">
        <f>IF('Ballot Entry'!N231&lt;&gt;9999,'Ballot Entry'!N231, "")</f>
        <v/>
      </c>
      <c r="E263" s="9" t="str">
        <f>IF('Ballot Entry'!$M231&lt;&gt;9999,'Ballot Entry'!P231,"")</f>
        <v/>
      </c>
      <c r="F263" s="9" t="e">
        <f t="shared" si="175"/>
        <v>#N/A</v>
      </c>
      <c r="G263" s="9" t="e">
        <f t="shared" si="170"/>
        <v>#VALUE!</v>
      </c>
      <c r="H263" s="395" t="e">
        <f t="shared" ref="H263:K263" si="192">H228</f>
        <v>#N/A</v>
      </c>
      <c r="I263" s="395" t="e">
        <f t="shared" si="192"/>
        <v>#N/A</v>
      </c>
      <c r="J263" s="395" t="e">
        <f t="shared" si="192"/>
        <v>#N/A</v>
      </c>
      <c r="K263" s="395" t="e">
        <f t="shared" si="192"/>
        <v>#N/A</v>
      </c>
      <c r="Q263" s="396"/>
    </row>
    <row r="264" spans="1:17" x14ac:dyDescent="0.2">
      <c r="A264" s="395">
        <v>3</v>
      </c>
      <c r="B264" s="395">
        <v>2</v>
      </c>
      <c r="C264" s="9" t="str">
        <f>IF('Ballot Entry'!M232&lt;&gt;9999,'Ballot Entry'!M232, "")</f>
        <v/>
      </c>
      <c r="D264" s="9" t="str">
        <f>IF('Ballot Entry'!N232&lt;&gt;9999,'Ballot Entry'!N232, "")</f>
        <v/>
      </c>
      <c r="E264" s="9" t="str">
        <f>IF('Ballot Entry'!$M232&lt;&gt;9999,'Ballot Entry'!P232,"")</f>
        <v/>
      </c>
      <c r="F264" s="9" t="e">
        <f t="shared" si="175"/>
        <v>#N/A</v>
      </c>
      <c r="G264" s="9" t="e">
        <f t="shared" si="170"/>
        <v>#VALUE!</v>
      </c>
      <c r="H264" s="395" t="e">
        <f t="shared" ref="H264:K264" si="193">H229</f>
        <v>#N/A</v>
      </c>
      <c r="I264" s="395" t="e">
        <f t="shared" si="193"/>
        <v>#N/A</v>
      </c>
      <c r="J264" s="395" t="e">
        <f t="shared" si="193"/>
        <v>#N/A</v>
      </c>
      <c r="K264" s="395" t="e">
        <f t="shared" si="193"/>
        <v>#N/A</v>
      </c>
    </row>
    <row r="265" spans="1:17" x14ac:dyDescent="0.2">
      <c r="A265" s="395">
        <v>3</v>
      </c>
      <c r="B265" s="395">
        <v>2</v>
      </c>
      <c r="C265" s="9" t="str">
        <f>IF('Ballot Entry'!M233&lt;&gt;9999,'Ballot Entry'!M233, "")</f>
        <v/>
      </c>
      <c r="D265" s="9" t="str">
        <f>IF('Ballot Entry'!N233&lt;&gt;9999,'Ballot Entry'!N233, "")</f>
        <v/>
      </c>
      <c r="E265" s="9" t="str">
        <f>IF('Ballot Entry'!$M233&lt;&gt;9999,'Ballot Entry'!P233,"")</f>
        <v/>
      </c>
      <c r="F265" s="9" t="e">
        <f t="shared" si="175"/>
        <v>#N/A</v>
      </c>
      <c r="G265" s="9" t="e">
        <f t="shared" si="170"/>
        <v>#VALUE!</v>
      </c>
      <c r="H265" s="395" t="e">
        <f t="shared" ref="H265:K265" si="194">H230</f>
        <v>#N/A</v>
      </c>
      <c r="I265" s="395" t="e">
        <f t="shared" si="194"/>
        <v>#N/A</v>
      </c>
      <c r="J265" s="395" t="e">
        <f t="shared" si="194"/>
        <v>#N/A</v>
      </c>
      <c r="K265" s="395" t="e">
        <f t="shared" si="194"/>
        <v>#N/A</v>
      </c>
    </row>
    <row r="266" spans="1:17" x14ac:dyDescent="0.2">
      <c r="A266" s="395">
        <v>3</v>
      </c>
      <c r="B266" s="395">
        <v>2</v>
      </c>
      <c r="C266" s="9" t="str">
        <f>IF('Ballot Entry'!M234&lt;&gt;9999,'Ballot Entry'!M234, "")</f>
        <v/>
      </c>
      <c r="D266" s="9" t="str">
        <f>IF('Ballot Entry'!N234&lt;&gt;9999,'Ballot Entry'!N234, "")</f>
        <v/>
      </c>
      <c r="E266" s="9" t="str">
        <f>IF('Ballot Entry'!$M234&lt;&gt;9999,'Ballot Entry'!P234,"")</f>
        <v/>
      </c>
      <c r="F266" s="9" t="e">
        <f t="shared" si="175"/>
        <v>#N/A</v>
      </c>
      <c r="G266" s="9" t="e">
        <f t="shared" si="170"/>
        <v>#VALUE!</v>
      </c>
      <c r="H266" s="395" t="e">
        <f t="shared" ref="H266:K266" si="195">H231</f>
        <v>#N/A</v>
      </c>
      <c r="I266" s="395" t="e">
        <f t="shared" si="195"/>
        <v>#N/A</v>
      </c>
      <c r="J266" s="395" t="e">
        <f t="shared" si="195"/>
        <v>#N/A</v>
      </c>
      <c r="K266" s="395" t="e">
        <f t="shared" si="195"/>
        <v>#N/A</v>
      </c>
      <c r="Q266" s="396"/>
    </row>
    <row r="267" spans="1:17" x14ac:dyDescent="0.2">
      <c r="A267" s="395">
        <v>3</v>
      </c>
      <c r="B267" s="395">
        <v>2</v>
      </c>
      <c r="C267" s="9" t="str">
        <f>IF('Ballot Entry'!M235&lt;&gt;9999,'Ballot Entry'!M235, "")</f>
        <v/>
      </c>
      <c r="D267" s="9" t="str">
        <f>IF('Ballot Entry'!N235&lt;&gt;9999,'Ballot Entry'!N235, "")</f>
        <v/>
      </c>
      <c r="E267" s="9" t="str">
        <f>IF('Ballot Entry'!$M235&lt;&gt;9999,'Ballot Entry'!P235,"")</f>
        <v/>
      </c>
      <c r="F267" s="9" t="e">
        <f t="shared" ref="F267:F281" si="196">IF(E267="",NA(),IF(E267&gt;0, "P", IF(E267&lt;0,"D", "T")))</f>
        <v>#N/A</v>
      </c>
      <c r="G267" s="9" t="e">
        <f t="shared" ref="G267:G281" si="197">ABS(E267)</f>
        <v>#VALUE!</v>
      </c>
      <c r="H267" s="395" t="e">
        <f t="shared" ref="H267:K267" si="198">H232</f>
        <v>#N/A</v>
      </c>
      <c r="I267" s="395" t="e">
        <f t="shared" si="198"/>
        <v>#N/A</v>
      </c>
      <c r="J267" s="395" t="e">
        <f t="shared" si="198"/>
        <v>#N/A</v>
      </c>
      <c r="K267" s="395" t="e">
        <f t="shared" si="198"/>
        <v>#N/A</v>
      </c>
    </row>
    <row r="268" spans="1:17" x14ac:dyDescent="0.2">
      <c r="A268" s="395">
        <v>3</v>
      </c>
      <c r="B268" s="395">
        <v>2</v>
      </c>
      <c r="C268" s="9" t="str">
        <f>IF('Ballot Entry'!M236&lt;&gt;9999,'Ballot Entry'!M236, "")</f>
        <v/>
      </c>
      <c r="D268" s="9" t="str">
        <f>IF('Ballot Entry'!N236&lt;&gt;9999,'Ballot Entry'!N236, "")</f>
        <v/>
      </c>
      <c r="E268" s="9" t="str">
        <f>IF('Ballot Entry'!$M236&lt;&gt;9999,'Ballot Entry'!P236,"")</f>
        <v/>
      </c>
      <c r="F268" s="9" t="e">
        <f t="shared" si="196"/>
        <v>#N/A</v>
      </c>
      <c r="G268" s="9" t="e">
        <f t="shared" si="197"/>
        <v>#VALUE!</v>
      </c>
      <c r="H268" s="395" t="e">
        <f t="shared" ref="H268:K268" si="199">H233</f>
        <v>#N/A</v>
      </c>
      <c r="I268" s="395" t="e">
        <f t="shared" si="199"/>
        <v>#N/A</v>
      </c>
      <c r="J268" s="395" t="e">
        <f t="shared" si="199"/>
        <v>#N/A</v>
      </c>
      <c r="K268" s="395" t="e">
        <f t="shared" si="199"/>
        <v>#N/A</v>
      </c>
    </row>
    <row r="269" spans="1:17" x14ac:dyDescent="0.2">
      <c r="A269" s="395">
        <v>3</v>
      </c>
      <c r="B269" s="395">
        <v>2</v>
      </c>
      <c r="C269" s="9" t="str">
        <f>IF('Ballot Entry'!M237&lt;&gt;9999,'Ballot Entry'!M237, "")</f>
        <v/>
      </c>
      <c r="D269" s="9" t="str">
        <f>IF('Ballot Entry'!N237&lt;&gt;9999,'Ballot Entry'!N237, "")</f>
        <v/>
      </c>
      <c r="E269" s="9" t="str">
        <f>IF('Ballot Entry'!$M237&lt;&gt;9999,'Ballot Entry'!P237,"")</f>
        <v/>
      </c>
      <c r="F269" s="9" t="e">
        <f t="shared" si="196"/>
        <v>#N/A</v>
      </c>
      <c r="G269" s="9" t="e">
        <f t="shared" si="197"/>
        <v>#VALUE!</v>
      </c>
      <c r="H269" s="395" t="e">
        <f t="shared" ref="H269:K269" si="200">H234</f>
        <v>#N/A</v>
      </c>
      <c r="I269" s="395" t="e">
        <f t="shared" si="200"/>
        <v>#N/A</v>
      </c>
      <c r="J269" s="395" t="e">
        <f t="shared" si="200"/>
        <v>#N/A</v>
      </c>
      <c r="K269" s="395" t="e">
        <f t="shared" si="200"/>
        <v>#N/A</v>
      </c>
      <c r="Q269" s="396"/>
    </row>
    <row r="270" spans="1:17" x14ac:dyDescent="0.2">
      <c r="A270" s="395">
        <v>3</v>
      </c>
      <c r="B270" s="395">
        <v>2</v>
      </c>
      <c r="C270" s="9" t="str">
        <f>IF('Ballot Entry'!M238&lt;&gt;9999,'Ballot Entry'!M238, "")</f>
        <v/>
      </c>
      <c r="D270" s="9" t="str">
        <f>IF('Ballot Entry'!N238&lt;&gt;9999,'Ballot Entry'!N238, "")</f>
        <v/>
      </c>
      <c r="E270" s="9" t="str">
        <f>IF('Ballot Entry'!$M238&lt;&gt;9999,'Ballot Entry'!P238,"")</f>
        <v/>
      </c>
      <c r="F270" s="9" t="e">
        <f t="shared" si="196"/>
        <v>#N/A</v>
      </c>
      <c r="G270" s="9" t="e">
        <f t="shared" si="197"/>
        <v>#VALUE!</v>
      </c>
      <c r="H270" s="395" t="e">
        <f t="shared" ref="H270:K270" si="201">H235</f>
        <v>#N/A</v>
      </c>
      <c r="I270" s="395" t="e">
        <f t="shared" si="201"/>
        <v>#N/A</v>
      </c>
      <c r="J270" s="395" t="e">
        <f t="shared" si="201"/>
        <v>#N/A</v>
      </c>
      <c r="K270" s="395" t="e">
        <f t="shared" si="201"/>
        <v>#N/A</v>
      </c>
    </row>
    <row r="271" spans="1:17" x14ac:dyDescent="0.2">
      <c r="A271" s="395">
        <v>3</v>
      </c>
      <c r="B271" s="395">
        <v>2</v>
      </c>
      <c r="C271" s="9" t="str">
        <f>IF('Ballot Entry'!M239&lt;&gt;9999,'Ballot Entry'!M239, "")</f>
        <v/>
      </c>
      <c r="D271" s="9" t="str">
        <f>IF('Ballot Entry'!N239&lt;&gt;9999,'Ballot Entry'!N239, "")</f>
        <v/>
      </c>
      <c r="E271" s="9" t="str">
        <f>IF('Ballot Entry'!$M239&lt;&gt;9999,'Ballot Entry'!P239,"")</f>
        <v/>
      </c>
      <c r="F271" s="9" t="e">
        <f t="shared" si="196"/>
        <v>#N/A</v>
      </c>
      <c r="G271" s="9" t="e">
        <f t="shared" si="197"/>
        <v>#VALUE!</v>
      </c>
      <c r="H271" s="395" t="e">
        <f t="shared" ref="H271:K271" si="202">H236</f>
        <v>#N/A</v>
      </c>
      <c r="I271" s="395" t="e">
        <f t="shared" si="202"/>
        <v>#N/A</v>
      </c>
      <c r="J271" s="395" t="e">
        <f t="shared" si="202"/>
        <v>#N/A</v>
      </c>
      <c r="K271" s="395" t="e">
        <f t="shared" si="202"/>
        <v>#N/A</v>
      </c>
    </row>
    <row r="272" spans="1:17" x14ac:dyDescent="0.2">
      <c r="A272" s="395">
        <v>3</v>
      </c>
      <c r="B272" s="395">
        <v>2</v>
      </c>
      <c r="C272" s="9" t="str">
        <f>IF('Ballot Entry'!M240&lt;&gt;9999,'Ballot Entry'!M240, "")</f>
        <v/>
      </c>
      <c r="D272" s="9" t="str">
        <f>IF('Ballot Entry'!N240&lt;&gt;9999,'Ballot Entry'!N240, "")</f>
        <v/>
      </c>
      <c r="E272" s="9" t="str">
        <f>IF('Ballot Entry'!$M240&lt;&gt;9999,'Ballot Entry'!P240,"")</f>
        <v/>
      </c>
      <c r="F272" s="9" t="e">
        <f t="shared" si="196"/>
        <v>#N/A</v>
      </c>
      <c r="G272" s="9" t="e">
        <f t="shared" si="197"/>
        <v>#VALUE!</v>
      </c>
      <c r="H272" s="395" t="e">
        <f t="shared" ref="H272:K272" si="203">H237</f>
        <v>#N/A</v>
      </c>
      <c r="I272" s="395" t="e">
        <f t="shared" si="203"/>
        <v>#N/A</v>
      </c>
      <c r="J272" s="395" t="e">
        <f t="shared" si="203"/>
        <v>#N/A</v>
      </c>
      <c r="K272" s="395" t="e">
        <f t="shared" si="203"/>
        <v>#N/A</v>
      </c>
      <c r="Q272" s="396"/>
    </row>
    <row r="273" spans="1:17" x14ac:dyDescent="0.2">
      <c r="A273" s="395">
        <v>3</v>
      </c>
      <c r="B273" s="395">
        <v>2</v>
      </c>
      <c r="C273" s="9" t="str">
        <f>IF('Ballot Entry'!M241&lt;&gt;9999,'Ballot Entry'!M241, "")</f>
        <v/>
      </c>
      <c r="D273" s="9" t="str">
        <f>IF('Ballot Entry'!N241&lt;&gt;9999,'Ballot Entry'!N241, "")</f>
        <v/>
      </c>
      <c r="E273" s="9" t="str">
        <f>IF('Ballot Entry'!$M241&lt;&gt;9999,'Ballot Entry'!P241,"")</f>
        <v/>
      </c>
      <c r="F273" s="9" t="e">
        <f t="shared" si="196"/>
        <v>#N/A</v>
      </c>
      <c r="G273" s="9" t="e">
        <f t="shared" si="197"/>
        <v>#VALUE!</v>
      </c>
      <c r="H273" s="395" t="e">
        <f t="shared" ref="H273:K273" si="204">H238</f>
        <v>#N/A</v>
      </c>
      <c r="I273" s="395" t="e">
        <f t="shared" si="204"/>
        <v>#N/A</v>
      </c>
      <c r="J273" s="395" t="e">
        <f t="shared" si="204"/>
        <v>#N/A</v>
      </c>
      <c r="K273" s="395" t="e">
        <f t="shared" si="204"/>
        <v>#N/A</v>
      </c>
    </row>
    <row r="274" spans="1:17" x14ac:dyDescent="0.2">
      <c r="A274" s="395">
        <v>3</v>
      </c>
      <c r="B274" s="395">
        <v>2</v>
      </c>
      <c r="C274" s="9" t="str">
        <f>IF('Ballot Entry'!M242&lt;&gt;9999,'Ballot Entry'!M242, "")</f>
        <v/>
      </c>
      <c r="D274" s="9" t="str">
        <f>IF('Ballot Entry'!N242&lt;&gt;9999,'Ballot Entry'!N242, "")</f>
        <v/>
      </c>
      <c r="E274" s="9" t="str">
        <f>IF('Ballot Entry'!$M242&lt;&gt;9999,'Ballot Entry'!P242,"")</f>
        <v/>
      </c>
      <c r="F274" s="9" t="e">
        <f t="shared" si="196"/>
        <v>#N/A</v>
      </c>
      <c r="G274" s="9" t="e">
        <f t="shared" si="197"/>
        <v>#VALUE!</v>
      </c>
      <c r="H274" s="395" t="e">
        <f t="shared" ref="H274:K274" si="205">H239</f>
        <v>#N/A</v>
      </c>
      <c r="I274" s="395" t="e">
        <f t="shared" si="205"/>
        <v>#N/A</v>
      </c>
      <c r="J274" s="395" t="e">
        <f t="shared" si="205"/>
        <v>#N/A</v>
      </c>
      <c r="K274" s="395" t="e">
        <f t="shared" si="205"/>
        <v>#N/A</v>
      </c>
    </row>
    <row r="275" spans="1:17" x14ac:dyDescent="0.2">
      <c r="A275" s="395">
        <v>3</v>
      </c>
      <c r="B275" s="395">
        <v>2</v>
      </c>
      <c r="C275" s="9" t="str">
        <f>IF('Ballot Entry'!M243&lt;&gt;9999,'Ballot Entry'!M243, "")</f>
        <v/>
      </c>
      <c r="D275" s="9" t="str">
        <f>IF('Ballot Entry'!N243&lt;&gt;9999,'Ballot Entry'!N243, "")</f>
        <v/>
      </c>
      <c r="E275" s="9" t="str">
        <f>IF('Ballot Entry'!$M243&lt;&gt;9999,'Ballot Entry'!P243,"")</f>
        <v/>
      </c>
      <c r="F275" s="9" t="e">
        <f t="shared" si="196"/>
        <v>#N/A</v>
      </c>
      <c r="G275" s="9" t="e">
        <f t="shared" si="197"/>
        <v>#VALUE!</v>
      </c>
      <c r="H275" s="395" t="e">
        <f t="shared" ref="H275:K275" si="206">H240</f>
        <v>#N/A</v>
      </c>
      <c r="I275" s="395" t="e">
        <f t="shared" si="206"/>
        <v>#N/A</v>
      </c>
      <c r="J275" s="395" t="e">
        <f t="shared" si="206"/>
        <v>#N/A</v>
      </c>
      <c r="K275" s="395" t="e">
        <f t="shared" si="206"/>
        <v>#N/A</v>
      </c>
      <c r="N275" s="396"/>
      <c r="Q275" s="396"/>
    </row>
    <row r="276" spans="1:17" x14ac:dyDescent="0.2">
      <c r="A276" s="395">
        <v>3</v>
      </c>
      <c r="B276" s="395">
        <v>2</v>
      </c>
      <c r="C276" s="9" t="str">
        <f>IF('Ballot Entry'!M244&lt;&gt;9999,'Ballot Entry'!M244, "")</f>
        <v/>
      </c>
      <c r="D276" s="9" t="str">
        <f>IF('Ballot Entry'!N244&lt;&gt;9999,'Ballot Entry'!N244, "")</f>
        <v/>
      </c>
      <c r="E276" s="9" t="str">
        <f>IF('Ballot Entry'!$M244&lt;&gt;9999,'Ballot Entry'!P244,"")</f>
        <v/>
      </c>
      <c r="F276" s="9" t="e">
        <f t="shared" si="196"/>
        <v>#N/A</v>
      </c>
      <c r="G276" s="9" t="e">
        <f t="shared" si="197"/>
        <v>#VALUE!</v>
      </c>
      <c r="H276" s="395" t="e">
        <f t="shared" ref="H276:K276" si="207">H241</f>
        <v>#N/A</v>
      </c>
      <c r="I276" s="395" t="e">
        <f t="shared" si="207"/>
        <v>#N/A</v>
      </c>
      <c r="J276" s="395" t="e">
        <f t="shared" si="207"/>
        <v>#N/A</v>
      </c>
      <c r="K276" s="395" t="e">
        <f t="shared" si="207"/>
        <v>#N/A</v>
      </c>
    </row>
    <row r="277" spans="1:17" x14ac:dyDescent="0.2">
      <c r="A277" s="395">
        <v>3</v>
      </c>
      <c r="B277" s="395">
        <v>2</v>
      </c>
      <c r="C277" s="9" t="str">
        <f>IF('Ballot Entry'!M245&lt;&gt;9999,'Ballot Entry'!M245, "")</f>
        <v/>
      </c>
      <c r="D277" s="9" t="str">
        <f>IF('Ballot Entry'!N245&lt;&gt;9999,'Ballot Entry'!N245, "")</f>
        <v/>
      </c>
      <c r="E277" s="9" t="str">
        <f>IF('Ballot Entry'!$M245&lt;&gt;9999,'Ballot Entry'!P245,"")</f>
        <v/>
      </c>
      <c r="F277" s="9" t="e">
        <f t="shared" si="196"/>
        <v>#N/A</v>
      </c>
      <c r="G277" s="9" t="e">
        <f t="shared" si="197"/>
        <v>#VALUE!</v>
      </c>
      <c r="H277" s="395" t="e">
        <f t="shared" ref="H277:K277" si="208">H242</f>
        <v>#N/A</v>
      </c>
      <c r="I277" s="395" t="e">
        <f t="shared" si="208"/>
        <v>#N/A</v>
      </c>
      <c r="J277" s="395" t="e">
        <f t="shared" si="208"/>
        <v>#N/A</v>
      </c>
      <c r="K277" s="395" t="e">
        <f t="shared" si="208"/>
        <v>#N/A</v>
      </c>
    </row>
    <row r="278" spans="1:17" x14ac:dyDescent="0.2">
      <c r="A278" s="395">
        <v>3</v>
      </c>
      <c r="B278" s="395">
        <v>2</v>
      </c>
      <c r="C278" s="9" t="str">
        <f>IF('Ballot Entry'!M246&lt;&gt;9999,'Ballot Entry'!M246, "")</f>
        <v/>
      </c>
      <c r="D278" s="9" t="str">
        <f>IF('Ballot Entry'!N246&lt;&gt;9999,'Ballot Entry'!N246, "")</f>
        <v/>
      </c>
      <c r="E278" s="9" t="str">
        <f>IF('Ballot Entry'!$M246&lt;&gt;9999,'Ballot Entry'!P246,"")</f>
        <v/>
      </c>
      <c r="F278" s="9" t="e">
        <f t="shared" si="196"/>
        <v>#N/A</v>
      </c>
      <c r="G278" s="9" t="e">
        <f t="shared" si="197"/>
        <v>#VALUE!</v>
      </c>
      <c r="H278" s="395" t="e">
        <f t="shared" ref="H278:K278" si="209">H243</f>
        <v>#N/A</v>
      </c>
      <c r="I278" s="395" t="e">
        <f t="shared" si="209"/>
        <v>#N/A</v>
      </c>
      <c r="J278" s="395" t="e">
        <f t="shared" si="209"/>
        <v>#N/A</v>
      </c>
      <c r="K278" s="395" t="e">
        <f t="shared" si="209"/>
        <v>#N/A</v>
      </c>
      <c r="N278" s="396"/>
      <c r="Q278" s="396"/>
    </row>
    <row r="279" spans="1:17" x14ac:dyDescent="0.2">
      <c r="A279" s="395">
        <v>3</v>
      </c>
      <c r="B279" s="395">
        <v>2</v>
      </c>
      <c r="C279" s="9" t="str">
        <f>IF('Ballot Entry'!M247&lt;&gt;9999,'Ballot Entry'!M247, "")</f>
        <v/>
      </c>
      <c r="D279" s="9" t="str">
        <f>IF('Ballot Entry'!N247&lt;&gt;9999,'Ballot Entry'!N247, "")</f>
        <v/>
      </c>
      <c r="E279" s="9" t="str">
        <f>IF('Ballot Entry'!$M247&lt;&gt;9999,'Ballot Entry'!P247,"")</f>
        <v/>
      </c>
      <c r="F279" s="9" t="e">
        <f t="shared" si="196"/>
        <v>#N/A</v>
      </c>
      <c r="G279" s="9" t="e">
        <f t="shared" si="197"/>
        <v>#VALUE!</v>
      </c>
      <c r="H279" s="395" t="e">
        <f t="shared" ref="H279:K279" si="210">H244</f>
        <v>#N/A</v>
      </c>
      <c r="I279" s="395" t="e">
        <f t="shared" si="210"/>
        <v>#N/A</v>
      </c>
      <c r="J279" s="395" t="e">
        <f t="shared" si="210"/>
        <v>#N/A</v>
      </c>
      <c r="K279" s="395" t="e">
        <f t="shared" si="210"/>
        <v>#N/A</v>
      </c>
    </row>
    <row r="280" spans="1:17" x14ac:dyDescent="0.2">
      <c r="A280" s="395">
        <v>3</v>
      </c>
      <c r="B280" s="395">
        <v>2</v>
      </c>
      <c r="C280" s="9" t="str">
        <f>IF('Ballot Entry'!M248&lt;&gt;9999,'Ballot Entry'!M248, "")</f>
        <v/>
      </c>
      <c r="D280" s="9" t="str">
        <f>IF('Ballot Entry'!N248&lt;&gt;9999,'Ballot Entry'!N248, "")</f>
        <v/>
      </c>
      <c r="E280" s="9" t="str">
        <f>IF('Ballot Entry'!$M248&lt;&gt;9999,'Ballot Entry'!P248,"")</f>
        <v/>
      </c>
      <c r="F280" s="9" t="e">
        <f t="shared" si="196"/>
        <v>#N/A</v>
      </c>
      <c r="G280" s="9" t="e">
        <f t="shared" si="197"/>
        <v>#VALUE!</v>
      </c>
      <c r="H280" s="395" t="e">
        <f t="shared" ref="H280:K280" si="211">H245</f>
        <v>#N/A</v>
      </c>
      <c r="I280" s="395" t="e">
        <f t="shared" si="211"/>
        <v>#N/A</v>
      </c>
      <c r="J280" s="395" t="e">
        <f t="shared" si="211"/>
        <v>#N/A</v>
      </c>
      <c r="K280" s="395" t="e">
        <f t="shared" si="211"/>
        <v>#N/A</v>
      </c>
    </row>
    <row r="281" spans="1:17" x14ac:dyDescent="0.2">
      <c r="A281" s="395">
        <v>3</v>
      </c>
      <c r="B281" s="395">
        <v>2</v>
      </c>
      <c r="C281" s="9" t="str">
        <f>IF('Ballot Entry'!M249&lt;&gt;9999,'Ballot Entry'!M249, "")</f>
        <v/>
      </c>
      <c r="D281" s="9" t="str">
        <f>IF('Ballot Entry'!N249&lt;&gt;9999,'Ballot Entry'!N249, "")</f>
        <v/>
      </c>
      <c r="E281" s="9" t="str">
        <f>IF('Ballot Entry'!$M249&lt;&gt;9999,'Ballot Entry'!P249,"")</f>
        <v/>
      </c>
      <c r="F281" s="9" t="e">
        <f t="shared" si="196"/>
        <v>#N/A</v>
      </c>
      <c r="G281" s="9" t="e">
        <f t="shared" si="197"/>
        <v>#VALUE!</v>
      </c>
      <c r="H281" s="395" t="e">
        <f t="shared" ref="H281:K281" si="212">H246</f>
        <v>#N/A</v>
      </c>
      <c r="I281" s="395" t="e">
        <f t="shared" si="212"/>
        <v>#N/A</v>
      </c>
      <c r="J281" s="395" t="e">
        <f t="shared" si="212"/>
        <v>#N/A</v>
      </c>
      <c r="K281" s="395" t="e">
        <f t="shared" si="212"/>
        <v>#N/A</v>
      </c>
      <c r="O281" s="396"/>
      <c r="Q281" s="396"/>
    </row>
    <row r="282" spans="1:17" x14ac:dyDescent="0.2">
      <c r="A282" s="395">
        <v>3</v>
      </c>
      <c r="B282" s="395">
        <v>3</v>
      </c>
      <c r="C282" s="9">
        <f>IF('Ballot Entry'!M215&lt;&gt;9999,'Ballot Entry'!M215, "")</f>
        <v>1268</v>
      </c>
      <c r="D282" s="9">
        <f>IF('Ballot Entry'!N215&lt;&gt;9999,'Ballot Entry'!N215, "")</f>
        <v>1051</v>
      </c>
      <c r="E282" s="9">
        <f>IF('Ballot Entry'!$M215&lt;&gt;9999,'Ballot Entry'!Q215,"")</f>
        <v>0</v>
      </c>
      <c r="F282" s="9" t="str">
        <f t="shared" si="175"/>
        <v>T</v>
      </c>
      <c r="G282" s="9">
        <f t="shared" si="170"/>
        <v>0</v>
      </c>
      <c r="H282" s="395" t="e">
        <f>H247</f>
        <v>#N/A</v>
      </c>
      <c r="I282" s="395" t="e">
        <f t="shared" ref="I282:K282" si="213">I247</f>
        <v>#N/A</v>
      </c>
      <c r="J282" s="395" t="e">
        <f t="shared" si="213"/>
        <v>#N/A</v>
      </c>
      <c r="K282" s="395" t="e">
        <f t="shared" si="213"/>
        <v>#N/A</v>
      </c>
    </row>
    <row r="283" spans="1:17" x14ac:dyDescent="0.2">
      <c r="A283" s="395">
        <v>3</v>
      </c>
      <c r="B283" s="395">
        <v>3</v>
      </c>
      <c r="C283" s="9">
        <f>IF('Ballot Entry'!M216&lt;&gt;9999,'Ballot Entry'!M216, "")</f>
        <v>1693</v>
      </c>
      <c r="D283" s="9">
        <f>IF('Ballot Entry'!N216&lt;&gt;9999,'Ballot Entry'!N216, "")</f>
        <v>1492</v>
      </c>
      <c r="E283" s="9">
        <f>IF('Ballot Entry'!$M216&lt;&gt;9999,'Ballot Entry'!Q216,"")</f>
        <v>0</v>
      </c>
      <c r="F283" s="9" t="str">
        <f t="shared" si="175"/>
        <v>T</v>
      </c>
      <c r="G283" s="9">
        <f t="shared" si="170"/>
        <v>0</v>
      </c>
      <c r="H283" s="395" t="e">
        <f t="shared" ref="H283:K283" si="214">H248</f>
        <v>#N/A</v>
      </c>
      <c r="I283" s="395" t="e">
        <f t="shared" si="214"/>
        <v>#N/A</v>
      </c>
      <c r="J283" s="395" t="e">
        <f t="shared" si="214"/>
        <v>#N/A</v>
      </c>
      <c r="K283" s="395" t="e">
        <f t="shared" si="214"/>
        <v>#N/A</v>
      </c>
    </row>
    <row r="284" spans="1:17" x14ac:dyDescent="0.2">
      <c r="A284" s="395">
        <v>3</v>
      </c>
      <c r="B284" s="395">
        <v>3</v>
      </c>
      <c r="C284" s="9">
        <f>IF('Ballot Entry'!M217&lt;&gt;9999,'Ballot Entry'!M217, "")</f>
        <v>1217</v>
      </c>
      <c r="D284" s="9">
        <f>IF('Ballot Entry'!N217&lt;&gt;9999,'Ballot Entry'!N217, "")</f>
        <v>1410</v>
      </c>
      <c r="E284" s="9">
        <f>IF('Ballot Entry'!$M217&lt;&gt;9999,'Ballot Entry'!Q217,"")</f>
        <v>0</v>
      </c>
      <c r="F284" s="9" t="str">
        <f t="shared" si="175"/>
        <v>T</v>
      </c>
      <c r="G284" s="9">
        <f t="shared" si="170"/>
        <v>0</v>
      </c>
      <c r="H284" s="395" t="e">
        <f t="shared" ref="H284:K284" si="215">H249</f>
        <v>#N/A</v>
      </c>
      <c r="I284" s="395" t="e">
        <f t="shared" si="215"/>
        <v>#N/A</v>
      </c>
      <c r="J284" s="395" t="e">
        <f t="shared" si="215"/>
        <v>#N/A</v>
      </c>
      <c r="K284" s="395" t="e">
        <f t="shared" si="215"/>
        <v>#N/A</v>
      </c>
      <c r="O284" s="396"/>
      <c r="Q284" s="396"/>
    </row>
    <row r="285" spans="1:17" x14ac:dyDescent="0.2">
      <c r="A285" s="395">
        <v>3</v>
      </c>
      <c r="B285" s="395">
        <v>3</v>
      </c>
      <c r="C285" s="9">
        <f>IF('Ballot Entry'!M218&lt;&gt;9999,'Ballot Entry'!M218, "")</f>
        <v>1489</v>
      </c>
      <c r="D285" s="9">
        <f>IF('Ballot Entry'!N218&lt;&gt;9999,'Ballot Entry'!N218, "")</f>
        <v>1224</v>
      </c>
      <c r="E285" s="9">
        <f>IF('Ballot Entry'!$M218&lt;&gt;9999,'Ballot Entry'!Q218,"")</f>
        <v>0</v>
      </c>
      <c r="F285" s="9" t="str">
        <f t="shared" si="175"/>
        <v>T</v>
      </c>
      <c r="G285" s="9">
        <f t="shared" si="170"/>
        <v>0</v>
      </c>
      <c r="H285" s="395" t="e">
        <f t="shared" ref="H285:K285" si="216">H250</f>
        <v>#N/A</v>
      </c>
      <c r="I285" s="395" t="e">
        <f t="shared" si="216"/>
        <v>#N/A</v>
      </c>
      <c r="J285" s="395" t="e">
        <f t="shared" si="216"/>
        <v>#N/A</v>
      </c>
      <c r="K285" s="395" t="e">
        <f t="shared" si="216"/>
        <v>#N/A</v>
      </c>
    </row>
    <row r="286" spans="1:17" x14ac:dyDescent="0.2">
      <c r="A286" s="395">
        <v>3</v>
      </c>
      <c r="B286" s="395">
        <v>3</v>
      </c>
      <c r="C286" s="9">
        <f>IF('Ballot Entry'!M219&lt;&gt;9999,'Ballot Entry'!M219, "")</f>
        <v>1001</v>
      </c>
      <c r="D286" s="9">
        <f>IF('Ballot Entry'!N219&lt;&gt;9999,'Ballot Entry'!N219, "")</f>
        <v>1577</v>
      </c>
      <c r="E286" s="9">
        <f>IF('Ballot Entry'!$M219&lt;&gt;9999,'Ballot Entry'!Q219,"")</f>
        <v>0</v>
      </c>
      <c r="F286" s="9" t="str">
        <f t="shared" si="175"/>
        <v>T</v>
      </c>
      <c r="G286" s="9">
        <f t="shared" si="170"/>
        <v>0</v>
      </c>
      <c r="H286" s="395" t="e">
        <f t="shared" ref="H286:K286" si="217">H251</f>
        <v>#N/A</v>
      </c>
      <c r="I286" s="395" t="e">
        <f t="shared" si="217"/>
        <v>#N/A</v>
      </c>
      <c r="J286" s="395" t="e">
        <f t="shared" si="217"/>
        <v>#N/A</v>
      </c>
      <c r="K286" s="395" t="e">
        <f t="shared" si="217"/>
        <v>#N/A</v>
      </c>
    </row>
    <row r="287" spans="1:17" x14ac:dyDescent="0.2">
      <c r="A287" s="395">
        <v>3</v>
      </c>
      <c r="B287" s="395">
        <v>3</v>
      </c>
      <c r="C287" s="9">
        <f>IF('Ballot Entry'!M220&lt;&gt;9999,'Ballot Entry'!M220, "")</f>
        <v>1517</v>
      </c>
      <c r="D287" s="9">
        <f>IF('Ballot Entry'!N220&lt;&gt;9999,'Ballot Entry'!N220, "")</f>
        <v>1078</v>
      </c>
      <c r="E287" s="9">
        <f>IF('Ballot Entry'!$M220&lt;&gt;9999,'Ballot Entry'!Q220,"")</f>
        <v>0</v>
      </c>
      <c r="F287" s="9" t="str">
        <f t="shared" si="175"/>
        <v>T</v>
      </c>
      <c r="G287" s="9">
        <f t="shared" si="170"/>
        <v>0</v>
      </c>
      <c r="H287" s="395" t="e">
        <f t="shared" ref="H287:K287" si="218">H252</f>
        <v>#N/A</v>
      </c>
      <c r="I287" s="395" t="e">
        <f t="shared" si="218"/>
        <v>#N/A</v>
      </c>
      <c r="J287" s="395" t="e">
        <f t="shared" si="218"/>
        <v>#N/A</v>
      </c>
      <c r="K287" s="395" t="e">
        <f t="shared" si="218"/>
        <v>#N/A</v>
      </c>
      <c r="O287" s="396"/>
      <c r="Q287" s="396"/>
    </row>
    <row r="288" spans="1:17" x14ac:dyDescent="0.2">
      <c r="A288" s="395">
        <v>3</v>
      </c>
      <c r="B288" s="395">
        <v>3</v>
      </c>
      <c r="C288" s="9">
        <f>IF('Ballot Entry'!M221&lt;&gt;9999,'Ballot Entry'!M221, "")</f>
        <v>1616</v>
      </c>
      <c r="D288" s="9">
        <f>IF('Ballot Entry'!N221&lt;&gt;9999,'Ballot Entry'!N221, "")</f>
        <v>1506</v>
      </c>
      <c r="E288" s="9">
        <f>IF('Ballot Entry'!$M221&lt;&gt;9999,'Ballot Entry'!Q221,"")</f>
        <v>0</v>
      </c>
      <c r="F288" s="9" t="str">
        <f t="shared" si="175"/>
        <v>T</v>
      </c>
      <c r="G288" s="9">
        <f t="shared" si="170"/>
        <v>0</v>
      </c>
      <c r="H288" s="395" t="e">
        <f t="shared" ref="H288:K288" si="219">H253</f>
        <v>#N/A</v>
      </c>
      <c r="I288" s="395" t="e">
        <f t="shared" si="219"/>
        <v>#N/A</v>
      </c>
      <c r="J288" s="395" t="e">
        <f t="shared" si="219"/>
        <v>#N/A</v>
      </c>
      <c r="K288" s="395" t="e">
        <f t="shared" si="219"/>
        <v>#N/A</v>
      </c>
    </row>
    <row r="289" spans="1:17" x14ac:dyDescent="0.2">
      <c r="A289" s="395">
        <v>3</v>
      </c>
      <c r="B289" s="395">
        <v>3</v>
      </c>
      <c r="C289" s="9">
        <f>IF('Ballot Entry'!M222&lt;&gt;9999,'Ballot Entry'!M222, "")</f>
        <v>1258</v>
      </c>
      <c r="D289" s="9">
        <f>IF('Ballot Entry'!N222&lt;&gt;9999,'Ballot Entry'!N222, "")</f>
        <v>1557</v>
      </c>
      <c r="E289" s="9">
        <f>IF('Ballot Entry'!$M222&lt;&gt;9999,'Ballot Entry'!Q222,"")</f>
        <v>0</v>
      </c>
      <c r="F289" s="9" t="str">
        <f t="shared" si="175"/>
        <v>T</v>
      </c>
      <c r="G289" s="9">
        <f t="shared" si="170"/>
        <v>0</v>
      </c>
      <c r="H289" s="395" t="e">
        <f t="shared" ref="H289:K289" si="220">H254</f>
        <v>#N/A</v>
      </c>
      <c r="I289" s="395" t="e">
        <f t="shared" si="220"/>
        <v>#N/A</v>
      </c>
      <c r="J289" s="395" t="e">
        <f t="shared" si="220"/>
        <v>#N/A</v>
      </c>
      <c r="K289" s="395" t="e">
        <f t="shared" si="220"/>
        <v>#N/A</v>
      </c>
    </row>
    <row r="290" spans="1:17" x14ac:dyDescent="0.2">
      <c r="A290" s="395">
        <v>3</v>
      </c>
      <c r="B290" s="395">
        <v>3</v>
      </c>
      <c r="C290" s="9">
        <f>IF('Ballot Entry'!M223&lt;&gt;9999,'Ballot Entry'!M223, "")</f>
        <v>1262</v>
      </c>
      <c r="D290" s="9">
        <f>IF('Ballot Entry'!N223&lt;&gt;9999,'Ballot Entry'!N223, "")</f>
        <v>1029</v>
      </c>
      <c r="E290" s="9">
        <f>IF('Ballot Entry'!$M223&lt;&gt;9999,'Ballot Entry'!Q223,"")</f>
        <v>0</v>
      </c>
      <c r="F290" s="9" t="str">
        <f t="shared" si="175"/>
        <v>T</v>
      </c>
      <c r="G290" s="9">
        <f t="shared" si="170"/>
        <v>0</v>
      </c>
      <c r="H290" s="395" t="e">
        <f t="shared" ref="H290:K290" si="221">H255</f>
        <v>#N/A</v>
      </c>
      <c r="I290" s="395" t="e">
        <f t="shared" si="221"/>
        <v>#N/A</v>
      </c>
      <c r="J290" s="395" t="e">
        <f t="shared" si="221"/>
        <v>#N/A</v>
      </c>
      <c r="K290" s="395" t="e">
        <f t="shared" si="221"/>
        <v>#N/A</v>
      </c>
      <c r="O290" s="396"/>
      <c r="Q290" s="396"/>
    </row>
    <row r="291" spans="1:17" x14ac:dyDescent="0.2">
      <c r="A291" s="395">
        <v>3</v>
      </c>
      <c r="B291" s="395">
        <v>3</v>
      </c>
      <c r="C291" s="9" t="str">
        <f>IF('Ballot Entry'!M224&lt;&gt;9999,'Ballot Entry'!M224, "")</f>
        <v/>
      </c>
      <c r="D291" s="9" t="str">
        <f>IF('Ballot Entry'!N224&lt;&gt;9999,'Ballot Entry'!N224, "")</f>
        <v/>
      </c>
      <c r="E291" s="9" t="str">
        <f>IF('Ballot Entry'!$M224&lt;&gt;9999,'Ballot Entry'!Q224,"")</f>
        <v/>
      </c>
      <c r="F291" s="9" t="e">
        <f t="shared" si="175"/>
        <v>#N/A</v>
      </c>
      <c r="G291" s="9" t="e">
        <f t="shared" si="170"/>
        <v>#VALUE!</v>
      </c>
      <c r="H291" s="395" t="e">
        <f t="shared" ref="H291:K291" si="222">H256</f>
        <v>#N/A</v>
      </c>
      <c r="I291" s="395" t="e">
        <f t="shared" si="222"/>
        <v>#N/A</v>
      </c>
      <c r="J291" s="395" t="e">
        <f t="shared" si="222"/>
        <v>#N/A</v>
      </c>
      <c r="K291" s="395" t="e">
        <f t="shared" si="222"/>
        <v>#N/A</v>
      </c>
    </row>
    <row r="292" spans="1:17" x14ac:dyDescent="0.2">
      <c r="A292" s="395">
        <v>3</v>
      </c>
      <c r="B292" s="395">
        <v>3</v>
      </c>
      <c r="C292" s="9" t="str">
        <f>IF('Ballot Entry'!M225&lt;&gt;9999,'Ballot Entry'!M225, "")</f>
        <v/>
      </c>
      <c r="D292" s="9" t="str">
        <f>IF('Ballot Entry'!N225&lt;&gt;9999,'Ballot Entry'!N225, "")</f>
        <v/>
      </c>
      <c r="E292" s="9" t="str">
        <f>IF('Ballot Entry'!$M225&lt;&gt;9999,'Ballot Entry'!Q225,"")</f>
        <v/>
      </c>
      <c r="F292" s="9" t="e">
        <f t="shared" si="175"/>
        <v>#N/A</v>
      </c>
      <c r="G292" s="9" t="e">
        <f t="shared" si="170"/>
        <v>#VALUE!</v>
      </c>
      <c r="H292" s="395" t="e">
        <f t="shared" ref="H292:K292" si="223">H257</f>
        <v>#N/A</v>
      </c>
      <c r="I292" s="395" t="e">
        <f t="shared" si="223"/>
        <v>#N/A</v>
      </c>
      <c r="J292" s="395" t="e">
        <f t="shared" si="223"/>
        <v>#N/A</v>
      </c>
      <c r="K292" s="395" t="e">
        <f t="shared" si="223"/>
        <v>#N/A</v>
      </c>
    </row>
    <row r="293" spans="1:17" x14ac:dyDescent="0.2">
      <c r="A293" s="395">
        <v>3</v>
      </c>
      <c r="B293" s="395">
        <v>3</v>
      </c>
      <c r="C293" s="9" t="str">
        <f>IF('Ballot Entry'!M226&lt;&gt;9999,'Ballot Entry'!M226, "")</f>
        <v/>
      </c>
      <c r="D293" s="9" t="str">
        <f>IF('Ballot Entry'!N226&lt;&gt;9999,'Ballot Entry'!N226, "")</f>
        <v/>
      </c>
      <c r="E293" s="9" t="str">
        <f>IF('Ballot Entry'!$M226&lt;&gt;9999,'Ballot Entry'!Q226,"")</f>
        <v/>
      </c>
      <c r="F293" s="9" t="e">
        <f t="shared" si="175"/>
        <v>#N/A</v>
      </c>
      <c r="G293" s="9" t="e">
        <f t="shared" si="170"/>
        <v>#VALUE!</v>
      </c>
      <c r="H293" s="395" t="e">
        <f t="shared" ref="H293:K293" si="224">H258</f>
        <v>#N/A</v>
      </c>
      <c r="I293" s="395" t="e">
        <f t="shared" si="224"/>
        <v>#N/A</v>
      </c>
      <c r="J293" s="395" t="e">
        <f t="shared" si="224"/>
        <v>#N/A</v>
      </c>
      <c r="K293" s="395" t="e">
        <f t="shared" si="224"/>
        <v>#N/A</v>
      </c>
      <c r="O293" s="396"/>
      <c r="Q293" s="396"/>
    </row>
    <row r="294" spans="1:17" x14ac:dyDescent="0.2">
      <c r="A294" s="395">
        <v>3</v>
      </c>
      <c r="B294" s="395">
        <v>3</v>
      </c>
      <c r="C294" s="9" t="str">
        <f>IF('Ballot Entry'!M227&lt;&gt;9999,'Ballot Entry'!M227, "")</f>
        <v/>
      </c>
      <c r="D294" s="9" t="str">
        <f>IF('Ballot Entry'!N227&lt;&gt;9999,'Ballot Entry'!N227, "")</f>
        <v/>
      </c>
      <c r="E294" s="9" t="str">
        <f>IF('Ballot Entry'!$M227&lt;&gt;9999,'Ballot Entry'!Q227,"")</f>
        <v/>
      </c>
      <c r="F294" s="9" t="e">
        <f t="shared" si="175"/>
        <v>#N/A</v>
      </c>
      <c r="G294" s="9" t="e">
        <f t="shared" si="170"/>
        <v>#VALUE!</v>
      </c>
      <c r="H294" s="395" t="e">
        <f t="shared" ref="H294:K294" si="225">H259</f>
        <v>#N/A</v>
      </c>
      <c r="I294" s="395" t="e">
        <f t="shared" si="225"/>
        <v>#N/A</v>
      </c>
      <c r="J294" s="395" t="e">
        <f t="shared" si="225"/>
        <v>#N/A</v>
      </c>
      <c r="K294" s="395" t="e">
        <f t="shared" si="225"/>
        <v>#N/A</v>
      </c>
    </row>
    <row r="295" spans="1:17" x14ac:dyDescent="0.2">
      <c r="A295" s="395">
        <v>3</v>
      </c>
      <c r="B295" s="395">
        <v>3</v>
      </c>
      <c r="C295" s="9" t="str">
        <f>IF('Ballot Entry'!M228&lt;&gt;9999,'Ballot Entry'!M228, "")</f>
        <v/>
      </c>
      <c r="D295" s="9" t="str">
        <f>IF('Ballot Entry'!N228&lt;&gt;9999,'Ballot Entry'!N228, "")</f>
        <v/>
      </c>
      <c r="E295" s="9" t="str">
        <f>IF('Ballot Entry'!$M228&lt;&gt;9999,'Ballot Entry'!Q228,"")</f>
        <v/>
      </c>
      <c r="F295" s="9" t="e">
        <f t="shared" si="175"/>
        <v>#N/A</v>
      </c>
      <c r="G295" s="9" t="e">
        <f t="shared" si="170"/>
        <v>#VALUE!</v>
      </c>
      <c r="H295" s="395" t="e">
        <f t="shared" ref="H295:K295" si="226">H260</f>
        <v>#N/A</v>
      </c>
      <c r="I295" s="395" t="e">
        <f t="shared" si="226"/>
        <v>#N/A</v>
      </c>
      <c r="J295" s="395" t="e">
        <f t="shared" si="226"/>
        <v>#N/A</v>
      </c>
      <c r="K295" s="395" t="e">
        <f t="shared" si="226"/>
        <v>#N/A</v>
      </c>
    </row>
    <row r="296" spans="1:17" x14ac:dyDescent="0.2">
      <c r="A296" s="395">
        <v>3</v>
      </c>
      <c r="B296" s="395">
        <v>3</v>
      </c>
      <c r="C296" s="9" t="str">
        <f>IF('Ballot Entry'!M229&lt;&gt;9999,'Ballot Entry'!M229, "")</f>
        <v/>
      </c>
      <c r="D296" s="9" t="str">
        <f>IF('Ballot Entry'!N229&lt;&gt;9999,'Ballot Entry'!N229, "")</f>
        <v/>
      </c>
      <c r="E296" s="9" t="str">
        <f>IF('Ballot Entry'!$M229&lt;&gt;9999,'Ballot Entry'!Q229,"")</f>
        <v/>
      </c>
      <c r="F296" s="9" t="e">
        <f t="shared" si="175"/>
        <v>#N/A</v>
      </c>
      <c r="G296" s="9" t="e">
        <f t="shared" si="170"/>
        <v>#VALUE!</v>
      </c>
      <c r="H296" s="395" t="e">
        <f t="shared" ref="H296:K296" si="227">H261</f>
        <v>#N/A</v>
      </c>
      <c r="I296" s="395" t="e">
        <f t="shared" si="227"/>
        <v>#N/A</v>
      </c>
      <c r="J296" s="395" t="e">
        <f t="shared" si="227"/>
        <v>#N/A</v>
      </c>
      <c r="K296" s="395" t="e">
        <f t="shared" si="227"/>
        <v>#N/A</v>
      </c>
      <c r="O296" s="396"/>
      <c r="Q296" s="396"/>
    </row>
    <row r="297" spans="1:17" x14ac:dyDescent="0.2">
      <c r="A297" s="395">
        <v>3</v>
      </c>
      <c r="B297" s="395">
        <v>3</v>
      </c>
      <c r="C297" s="9" t="str">
        <f>IF('Ballot Entry'!M230&lt;&gt;9999,'Ballot Entry'!M230, "")</f>
        <v/>
      </c>
      <c r="D297" s="9" t="str">
        <f>IF('Ballot Entry'!N230&lt;&gt;9999,'Ballot Entry'!N230, "")</f>
        <v/>
      </c>
      <c r="E297" s="9" t="str">
        <f>IF('Ballot Entry'!$M230&lt;&gt;9999,'Ballot Entry'!Q230,"")</f>
        <v/>
      </c>
      <c r="F297" s="9" t="e">
        <f t="shared" si="175"/>
        <v>#N/A</v>
      </c>
      <c r="G297" s="9" t="e">
        <f t="shared" si="170"/>
        <v>#VALUE!</v>
      </c>
      <c r="H297" s="395" t="e">
        <f t="shared" ref="H297:K297" si="228">H262</f>
        <v>#N/A</v>
      </c>
      <c r="I297" s="395" t="e">
        <f t="shared" si="228"/>
        <v>#N/A</v>
      </c>
      <c r="J297" s="395" t="e">
        <f t="shared" si="228"/>
        <v>#N/A</v>
      </c>
      <c r="K297" s="395" t="e">
        <f t="shared" si="228"/>
        <v>#N/A</v>
      </c>
    </row>
    <row r="298" spans="1:17" x14ac:dyDescent="0.2">
      <c r="A298" s="395">
        <v>3</v>
      </c>
      <c r="B298" s="395">
        <v>3</v>
      </c>
      <c r="C298" s="9" t="str">
        <f>IF('Ballot Entry'!M231&lt;&gt;9999,'Ballot Entry'!M231, "")</f>
        <v/>
      </c>
      <c r="D298" s="9" t="str">
        <f>IF('Ballot Entry'!N231&lt;&gt;9999,'Ballot Entry'!N231, "")</f>
        <v/>
      </c>
      <c r="E298" s="9" t="str">
        <f>IF('Ballot Entry'!$M231&lt;&gt;9999,'Ballot Entry'!Q231,"")</f>
        <v/>
      </c>
      <c r="F298" s="9" t="e">
        <f t="shared" si="175"/>
        <v>#N/A</v>
      </c>
      <c r="G298" s="9" t="e">
        <f t="shared" si="170"/>
        <v>#VALUE!</v>
      </c>
      <c r="H298" s="395" t="e">
        <f t="shared" ref="H298:K298" si="229">H263</f>
        <v>#N/A</v>
      </c>
      <c r="I298" s="395" t="e">
        <f t="shared" si="229"/>
        <v>#N/A</v>
      </c>
      <c r="J298" s="395" t="e">
        <f t="shared" si="229"/>
        <v>#N/A</v>
      </c>
      <c r="K298" s="395" t="e">
        <f t="shared" si="229"/>
        <v>#N/A</v>
      </c>
    </row>
    <row r="299" spans="1:17" x14ac:dyDescent="0.2">
      <c r="A299" s="395">
        <v>3</v>
      </c>
      <c r="B299" s="395">
        <v>3</v>
      </c>
      <c r="C299" s="9" t="str">
        <f>IF('Ballot Entry'!M232&lt;&gt;9999,'Ballot Entry'!M232, "")</f>
        <v/>
      </c>
      <c r="D299" s="9" t="str">
        <f>IF('Ballot Entry'!N232&lt;&gt;9999,'Ballot Entry'!N232, "")</f>
        <v/>
      </c>
      <c r="E299" s="9" t="str">
        <f>IF('Ballot Entry'!$M232&lt;&gt;9999,'Ballot Entry'!Q232,"")</f>
        <v/>
      </c>
      <c r="F299" s="9" t="e">
        <f t="shared" si="175"/>
        <v>#N/A</v>
      </c>
      <c r="G299" s="9" t="e">
        <f t="shared" si="170"/>
        <v>#VALUE!</v>
      </c>
      <c r="H299" s="395" t="e">
        <f t="shared" ref="H299:K299" si="230">H264</f>
        <v>#N/A</v>
      </c>
      <c r="I299" s="395" t="e">
        <f t="shared" si="230"/>
        <v>#N/A</v>
      </c>
      <c r="J299" s="395" t="e">
        <f t="shared" si="230"/>
        <v>#N/A</v>
      </c>
      <c r="K299" s="395" t="e">
        <f t="shared" si="230"/>
        <v>#N/A</v>
      </c>
      <c r="O299" s="396"/>
      <c r="Q299" s="396"/>
    </row>
    <row r="300" spans="1:17" x14ac:dyDescent="0.2">
      <c r="A300" s="395">
        <v>3</v>
      </c>
      <c r="B300" s="395">
        <v>3</v>
      </c>
      <c r="C300" s="9" t="str">
        <f>IF('Ballot Entry'!M233&lt;&gt;9999,'Ballot Entry'!M233, "")</f>
        <v/>
      </c>
      <c r="D300" s="9" t="str">
        <f>IF('Ballot Entry'!N233&lt;&gt;9999,'Ballot Entry'!N233, "")</f>
        <v/>
      </c>
      <c r="E300" s="9" t="str">
        <f>IF('Ballot Entry'!$M233&lt;&gt;9999,'Ballot Entry'!Q233,"")</f>
        <v/>
      </c>
      <c r="F300" s="9" t="e">
        <f t="shared" si="175"/>
        <v>#N/A</v>
      </c>
      <c r="G300" s="9" t="e">
        <f t="shared" si="170"/>
        <v>#VALUE!</v>
      </c>
      <c r="H300" s="395" t="e">
        <f t="shared" ref="H300:K300" si="231">H265</f>
        <v>#N/A</v>
      </c>
      <c r="I300" s="395" t="e">
        <f t="shared" si="231"/>
        <v>#N/A</v>
      </c>
      <c r="J300" s="395" t="e">
        <f t="shared" si="231"/>
        <v>#N/A</v>
      </c>
      <c r="K300" s="395" t="e">
        <f t="shared" si="231"/>
        <v>#N/A</v>
      </c>
    </row>
    <row r="301" spans="1:17" x14ac:dyDescent="0.2">
      <c r="A301" s="395">
        <v>3</v>
      </c>
      <c r="B301" s="395">
        <v>3</v>
      </c>
      <c r="C301" s="9" t="str">
        <f>IF('Ballot Entry'!M234&lt;&gt;9999,'Ballot Entry'!M234, "")</f>
        <v/>
      </c>
      <c r="D301" s="9" t="str">
        <f>IF('Ballot Entry'!N234&lt;&gt;9999,'Ballot Entry'!N234, "")</f>
        <v/>
      </c>
      <c r="E301" s="9" t="str">
        <f>IF('Ballot Entry'!$M234&lt;&gt;9999,'Ballot Entry'!Q234,"")</f>
        <v/>
      </c>
      <c r="F301" s="9" t="e">
        <f>IF(E301="",NA(),IF(E301&gt;0, "P", IF(E301&lt;0,"D", "T")))</f>
        <v>#N/A</v>
      </c>
      <c r="G301" s="9" t="e">
        <f t="shared" si="170"/>
        <v>#VALUE!</v>
      </c>
      <c r="H301" s="395" t="e">
        <f t="shared" ref="H301:K301" si="232">H266</f>
        <v>#N/A</v>
      </c>
      <c r="I301" s="395" t="e">
        <f t="shared" si="232"/>
        <v>#N/A</v>
      </c>
      <c r="J301" s="395" t="e">
        <f t="shared" si="232"/>
        <v>#N/A</v>
      </c>
      <c r="K301" s="395" t="e">
        <f t="shared" si="232"/>
        <v>#N/A</v>
      </c>
    </row>
    <row r="302" spans="1:17" x14ac:dyDescent="0.2">
      <c r="A302" s="395">
        <v>3</v>
      </c>
      <c r="B302" s="395">
        <v>3</v>
      </c>
      <c r="C302" s="9" t="str">
        <f>IF('Ballot Entry'!M235&lt;&gt;9999,'Ballot Entry'!M235, "")</f>
        <v/>
      </c>
      <c r="D302" s="9" t="str">
        <f>IF('Ballot Entry'!N235&lt;&gt;9999,'Ballot Entry'!N235, "")</f>
        <v/>
      </c>
      <c r="E302" s="9" t="str">
        <f>IF('Ballot Entry'!$M235&lt;&gt;9999,'Ballot Entry'!Q235,"")</f>
        <v/>
      </c>
      <c r="F302" s="9" t="e">
        <f t="shared" ref="F302:F317" si="233">IF(E302="",NA(),IF(E302&gt;0, "P", IF(E302&lt;0,"D", "T")))</f>
        <v>#N/A</v>
      </c>
      <c r="G302" s="9" t="e">
        <f t="shared" ref="G302:G317" si="234">ABS(E302)</f>
        <v>#VALUE!</v>
      </c>
      <c r="H302" s="395" t="e">
        <f t="shared" ref="H302:K302" si="235">H267</f>
        <v>#N/A</v>
      </c>
      <c r="I302" s="395" t="e">
        <f t="shared" si="235"/>
        <v>#N/A</v>
      </c>
      <c r="J302" s="395" t="e">
        <f t="shared" si="235"/>
        <v>#N/A</v>
      </c>
      <c r="K302" s="395" t="e">
        <f t="shared" si="235"/>
        <v>#N/A</v>
      </c>
      <c r="O302" s="396"/>
      <c r="Q302" s="396"/>
    </row>
    <row r="303" spans="1:17" x14ac:dyDescent="0.2">
      <c r="A303" s="395">
        <v>3</v>
      </c>
      <c r="B303" s="395">
        <v>3</v>
      </c>
      <c r="C303" s="9" t="str">
        <f>IF('Ballot Entry'!M236&lt;&gt;9999,'Ballot Entry'!M236, "")</f>
        <v/>
      </c>
      <c r="D303" s="9" t="str">
        <f>IF('Ballot Entry'!N236&lt;&gt;9999,'Ballot Entry'!N236, "")</f>
        <v/>
      </c>
      <c r="E303" s="9" t="str">
        <f>IF('Ballot Entry'!$M236&lt;&gt;9999,'Ballot Entry'!Q236,"")</f>
        <v/>
      </c>
      <c r="F303" s="9" t="e">
        <f t="shared" si="233"/>
        <v>#N/A</v>
      </c>
      <c r="G303" s="9" t="e">
        <f t="shared" si="234"/>
        <v>#VALUE!</v>
      </c>
      <c r="H303" s="395" t="e">
        <f t="shared" ref="H303:K303" si="236">H268</f>
        <v>#N/A</v>
      </c>
      <c r="I303" s="395" t="e">
        <f t="shared" si="236"/>
        <v>#N/A</v>
      </c>
      <c r="J303" s="395" t="e">
        <f t="shared" si="236"/>
        <v>#N/A</v>
      </c>
      <c r="K303" s="395" t="e">
        <f t="shared" si="236"/>
        <v>#N/A</v>
      </c>
    </row>
    <row r="304" spans="1:17" x14ac:dyDescent="0.2">
      <c r="A304" s="395">
        <v>3</v>
      </c>
      <c r="B304" s="395">
        <v>3</v>
      </c>
      <c r="C304" s="9" t="str">
        <f>IF('Ballot Entry'!M237&lt;&gt;9999,'Ballot Entry'!M237, "")</f>
        <v/>
      </c>
      <c r="D304" s="9" t="str">
        <f>IF('Ballot Entry'!N237&lt;&gt;9999,'Ballot Entry'!N237, "")</f>
        <v/>
      </c>
      <c r="E304" s="9" t="str">
        <f>IF('Ballot Entry'!$M237&lt;&gt;9999,'Ballot Entry'!Q237,"")</f>
        <v/>
      </c>
      <c r="F304" s="9" t="e">
        <f t="shared" si="233"/>
        <v>#N/A</v>
      </c>
      <c r="G304" s="9" t="e">
        <f t="shared" si="234"/>
        <v>#VALUE!</v>
      </c>
      <c r="H304" s="395" t="e">
        <f t="shared" ref="H304:K304" si="237">H269</f>
        <v>#N/A</v>
      </c>
      <c r="I304" s="395" t="e">
        <f t="shared" si="237"/>
        <v>#N/A</v>
      </c>
      <c r="J304" s="395" t="e">
        <f t="shared" si="237"/>
        <v>#N/A</v>
      </c>
      <c r="K304" s="395" t="e">
        <f t="shared" si="237"/>
        <v>#N/A</v>
      </c>
    </row>
    <row r="305" spans="1:17" x14ac:dyDescent="0.2">
      <c r="A305" s="395">
        <v>3</v>
      </c>
      <c r="B305" s="395">
        <v>3</v>
      </c>
      <c r="C305" s="9" t="str">
        <f>IF('Ballot Entry'!M238&lt;&gt;9999,'Ballot Entry'!M238, "")</f>
        <v/>
      </c>
      <c r="D305" s="9" t="str">
        <f>IF('Ballot Entry'!N238&lt;&gt;9999,'Ballot Entry'!N238, "")</f>
        <v/>
      </c>
      <c r="E305" s="9" t="str">
        <f>IF('Ballot Entry'!$M238&lt;&gt;9999,'Ballot Entry'!Q238,"")</f>
        <v/>
      </c>
      <c r="F305" s="9" t="e">
        <f t="shared" si="233"/>
        <v>#N/A</v>
      </c>
      <c r="G305" s="9" t="e">
        <f t="shared" si="234"/>
        <v>#VALUE!</v>
      </c>
      <c r="H305" s="395" t="e">
        <f t="shared" ref="H305:K305" si="238">H270</f>
        <v>#N/A</v>
      </c>
      <c r="I305" s="395" t="e">
        <f t="shared" si="238"/>
        <v>#N/A</v>
      </c>
      <c r="J305" s="395" t="e">
        <f t="shared" si="238"/>
        <v>#N/A</v>
      </c>
      <c r="K305" s="395" t="e">
        <f t="shared" si="238"/>
        <v>#N/A</v>
      </c>
      <c r="O305" s="396"/>
      <c r="Q305" s="396"/>
    </row>
    <row r="306" spans="1:17" x14ac:dyDescent="0.2">
      <c r="A306" s="395">
        <v>3</v>
      </c>
      <c r="B306" s="395">
        <v>3</v>
      </c>
      <c r="C306" s="9" t="str">
        <f>IF('Ballot Entry'!M239&lt;&gt;9999,'Ballot Entry'!M239, "")</f>
        <v/>
      </c>
      <c r="D306" s="9" t="str">
        <f>IF('Ballot Entry'!N239&lt;&gt;9999,'Ballot Entry'!N239, "")</f>
        <v/>
      </c>
      <c r="E306" s="9" t="str">
        <f>IF('Ballot Entry'!$M239&lt;&gt;9999,'Ballot Entry'!Q239,"")</f>
        <v/>
      </c>
      <c r="F306" s="9" t="e">
        <f t="shared" si="233"/>
        <v>#N/A</v>
      </c>
      <c r="G306" s="9" t="e">
        <f t="shared" si="234"/>
        <v>#VALUE!</v>
      </c>
      <c r="H306" s="395" t="e">
        <f t="shared" ref="H306:K306" si="239">H271</f>
        <v>#N/A</v>
      </c>
      <c r="I306" s="395" t="e">
        <f t="shared" si="239"/>
        <v>#N/A</v>
      </c>
      <c r="J306" s="395" t="e">
        <f t="shared" si="239"/>
        <v>#N/A</v>
      </c>
      <c r="K306" s="395" t="e">
        <f t="shared" si="239"/>
        <v>#N/A</v>
      </c>
    </row>
    <row r="307" spans="1:17" x14ac:dyDescent="0.2">
      <c r="A307" s="395">
        <v>3</v>
      </c>
      <c r="B307" s="395">
        <v>3</v>
      </c>
      <c r="C307" s="9" t="str">
        <f>IF('Ballot Entry'!M240&lt;&gt;9999,'Ballot Entry'!M240, "")</f>
        <v/>
      </c>
      <c r="D307" s="9" t="str">
        <f>IF('Ballot Entry'!N240&lt;&gt;9999,'Ballot Entry'!N240, "")</f>
        <v/>
      </c>
      <c r="E307" s="9" t="str">
        <f>IF('Ballot Entry'!$M240&lt;&gt;9999,'Ballot Entry'!Q240,"")</f>
        <v/>
      </c>
      <c r="F307" s="9" t="e">
        <f t="shared" si="233"/>
        <v>#N/A</v>
      </c>
      <c r="G307" s="9" t="e">
        <f t="shared" si="234"/>
        <v>#VALUE!</v>
      </c>
      <c r="H307" s="395" t="e">
        <f t="shared" ref="H307:K307" si="240">H272</f>
        <v>#N/A</v>
      </c>
      <c r="I307" s="395" t="e">
        <f t="shared" si="240"/>
        <v>#N/A</v>
      </c>
      <c r="J307" s="395" t="e">
        <f t="shared" si="240"/>
        <v>#N/A</v>
      </c>
      <c r="K307" s="395" t="e">
        <f t="shared" si="240"/>
        <v>#N/A</v>
      </c>
    </row>
    <row r="308" spans="1:17" x14ac:dyDescent="0.2">
      <c r="A308" s="395">
        <v>3</v>
      </c>
      <c r="B308" s="395">
        <v>3</v>
      </c>
      <c r="C308" s="9" t="str">
        <f>IF('Ballot Entry'!M241&lt;&gt;9999,'Ballot Entry'!M241, "")</f>
        <v/>
      </c>
      <c r="D308" s="9" t="str">
        <f>IF('Ballot Entry'!N241&lt;&gt;9999,'Ballot Entry'!N241, "")</f>
        <v/>
      </c>
      <c r="E308" s="9" t="str">
        <f>IF('Ballot Entry'!$M241&lt;&gt;9999,'Ballot Entry'!Q241,"")</f>
        <v/>
      </c>
      <c r="F308" s="9" t="e">
        <f t="shared" si="233"/>
        <v>#N/A</v>
      </c>
      <c r="G308" s="9" t="e">
        <f t="shared" si="234"/>
        <v>#VALUE!</v>
      </c>
      <c r="H308" s="395" t="e">
        <f t="shared" ref="H308:K308" si="241">H273</f>
        <v>#N/A</v>
      </c>
      <c r="I308" s="395" t="e">
        <f t="shared" si="241"/>
        <v>#N/A</v>
      </c>
      <c r="J308" s="395" t="e">
        <f t="shared" si="241"/>
        <v>#N/A</v>
      </c>
      <c r="K308" s="395" t="e">
        <f t="shared" si="241"/>
        <v>#N/A</v>
      </c>
      <c r="O308" s="396"/>
      <c r="Q308" s="396"/>
    </row>
    <row r="309" spans="1:17" x14ac:dyDescent="0.2">
      <c r="A309" s="395">
        <v>3</v>
      </c>
      <c r="B309" s="395">
        <v>3</v>
      </c>
      <c r="C309" s="9" t="str">
        <f>IF('Ballot Entry'!M242&lt;&gt;9999,'Ballot Entry'!M242, "")</f>
        <v/>
      </c>
      <c r="D309" s="9" t="str">
        <f>IF('Ballot Entry'!N242&lt;&gt;9999,'Ballot Entry'!N242, "")</f>
        <v/>
      </c>
      <c r="E309" s="9" t="str">
        <f>IF('Ballot Entry'!$M242&lt;&gt;9999,'Ballot Entry'!Q242,"")</f>
        <v/>
      </c>
      <c r="F309" s="9" t="e">
        <f t="shared" si="233"/>
        <v>#N/A</v>
      </c>
      <c r="G309" s="9" t="e">
        <f t="shared" si="234"/>
        <v>#VALUE!</v>
      </c>
      <c r="H309" s="395" t="e">
        <f t="shared" ref="H309:K309" si="242">H274</f>
        <v>#N/A</v>
      </c>
      <c r="I309" s="395" t="e">
        <f t="shared" si="242"/>
        <v>#N/A</v>
      </c>
      <c r="J309" s="395" t="e">
        <f t="shared" si="242"/>
        <v>#N/A</v>
      </c>
      <c r="K309" s="395" t="e">
        <f t="shared" si="242"/>
        <v>#N/A</v>
      </c>
    </row>
    <row r="310" spans="1:17" x14ac:dyDescent="0.2">
      <c r="A310" s="395">
        <v>3</v>
      </c>
      <c r="B310" s="395">
        <v>3</v>
      </c>
      <c r="C310" s="9" t="str">
        <f>IF('Ballot Entry'!M243&lt;&gt;9999,'Ballot Entry'!M243, "")</f>
        <v/>
      </c>
      <c r="D310" s="9" t="str">
        <f>IF('Ballot Entry'!N243&lt;&gt;9999,'Ballot Entry'!N243, "")</f>
        <v/>
      </c>
      <c r="E310" s="9" t="str">
        <f>IF('Ballot Entry'!$M243&lt;&gt;9999,'Ballot Entry'!Q243,"")</f>
        <v/>
      </c>
      <c r="F310" s="9" t="e">
        <f t="shared" si="233"/>
        <v>#N/A</v>
      </c>
      <c r="G310" s="9" t="e">
        <f t="shared" si="234"/>
        <v>#VALUE!</v>
      </c>
      <c r="H310" s="395" t="e">
        <f t="shared" ref="H310:K310" si="243">H275</f>
        <v>#N/A</v>
      </c>
      <c r="I310" s="395" t="e">
        <f t="shared" si="243"/>
        <v>#N/A</v>
      </c>
      <c r="J310" s="395" t="e">
        <f t="shared" si="243"/>
        <v>#N/A</v>
      </c>
      <c r="K310" s="395" t="e">
        <f t="shared" si="243"/>
        <v>#N/A</v>
      </c>
    </row>
    <row r="311" spans="1:17" x14ac:dyDescent="0.2">
      <c r="A311" s="395">
        <v>3</v>
      </c>
      <c r="B311" s="395">
        <v>3</v>
      </c>
      <c r="C311" s="9" t="str">
        <f>IF('Ballot Entry'!M244&lt;&gt;9999,'Ballot Entry'!M244, "")</f>
        <v/>
      </c>
      <c r="D311" s="9" t="str">
        <f>IF('Ballot Entry'!N244&lt;&gt;9999,'Ballot Entry'!N244, "")</f>
        <v/>
      </c>
      <c r="E311" s="9" t="str">
        <f>IF('Ballot Entry'!$M244&lt;&gt;9999,'Ballot Entry'!Q244,"")</f>
        <v/>
      </c>
      <c r="F311" s="9" t="e">
        <f t="shared" si="233"/>
        <v>#N/A</v>
      </c>
      <c r="G311" s="9" t="e">
        <f t="shared" si="234"/>
        <v>#VALUE!</v>
      </c>
      <c r="H311" s="395" t="e">
        <f t="shared" ref="H311:K311" si="244">H276</f>
        <v>#N/A</v>
      </c>
      <c r="I311" s="395" t="e">
        <f t="shared" si="244"/>
        <v>#N/A</v>
      </c>
      <c r="J311" s="395" t="e">
        <f t="shared" si="244"/>
        <v>#N/A</v>
      </c>
      <c r="K311" s="395" t="e">
        <f t="shared" si="244"/>
        <v>#N/A</v>
      </c>
      <c r="O311" s="396"/>
      <c r="Q311" s="396"/>
    </row>
    <row r="312" spans="1:17" x14ac:dyDescent="0.2">
      <c r="A312" s="395">
        <v>3</v>
      </c>
      <c r="B312" s="395">
        <v>3</v>
      </c>
      <c r="C312" s="9" t="str">
        <f>IF('Ballot Entry'!M245&lt;&gt;9999,'Ballot Entry'!M245, "")</f>
        <v/>
      </c>
      <c r="D312" s="9" t="str">
        <f>IF('Ballot Entry'!N245&lt;&gt;9999,'Ballot Entry'!N245, "")</f>
        <v/>
      </c>
      <c r="E312" s="9" t="str">
        <f>IF('Ballot Entry'!$M245&lt;&gt;9999,'Ballot Entry'!Q245,"")</f>
        <v/>
      </c>
      <c r="F312" s="9" t="e">
        <f t="shared" si="233"/>
        <v>#N/A</v>
      </c>
      <c r="G312" s="9" t="e">
        <f t="shared" si="234"/>
        <v>#VALUE!</v>
      </c>
      <c r="H312" s="395" t="e">
        <f t="shared" ref="H312:K312" si="245">H277</f>
        <v>#N/A</v>
      </c>
      <c r="I312" s="395" t="e">
        <f t="shared" si="245"/>
        <v>#N/A</v>
      </c>
      <c r="J312" s="395" t="e">
        <f t="shared" si="245"/>
        <v>#N/A</v>
      </c>
      <c r="K312" s="395" t="e">
        <f t="shared" si="245"/>
        <v>#N/A</v>
      </c>
    </row>
    <row r="313" spans="1:17" x14ac:dyDescent="0.2">
      <c r="A313" s="395">
        <v>3</v>
      </c>
      <c r="B313" s="395">
        <v>3</v>
      </c>
      <c r="C313" s="9" t="str">
        <f>IF('Ballot Entry'!M246&lt;&gt;9999,'Ballot Entry'!M246, "")</f>
        <v/>
      </c>
      <c r="D313" s="9" t="str">
        <f>IF('Ballot Entry'!N246&lt;&gt;9999,'Ballot Entry'!N246, "")</f>
        <v/>
      </c>
      <c r="E313" s="9" t="str">
        <f>IF('Ballot Entry'!$M246&lt;&gt;9999,'Ballot Entry'!Q246,"")</f>
        <v/>
      </c>
      <c r="F313" s="9" t="e">
        <f t="shared" si="233"/>
        <v>#N/A</v>
      </c>
      <c r="G313" s="9" t="e">
        <f t="shared" si="234"/>
        <v>#VALUE!</v>
      </c>
      <c r="H313" s="395" t="e">
        <f t="shared" ref="H313:K313" si="246">H278</f>
        <v>#N/A</v>
      </c>
      <c r="I313" s="395" t="e">
        <f t="shared" si="246"/>
        <v>#N/A</v>
      </c>
      <c r="J313" s="395" t="e">
        <f t="shared" si="246"/>
        <v>#N/A</v>
      </c>
      <c r="K313" s="395" t="e">
        <f t="shared" si="246"/>
        <v>#N/A</v>
      </c>
    </row>
    <row r="314" spans="1:17" x14ac:dyDescent="0.2">
      <c r="A314" s="395">
        <v>3</v>
      </c>
      <c r="B314" s="395">
        <v>3</v>
      </c>
      <c r="C314" s="9" t="str">
        <f>IF('Ballot Entry'!M247&lt;&gt;9999,'Ballot Entry'!M247, "")</f>
        <v/>
      </c>
      <c r="D314" s="9" t="str">
        <f>IF('Ballot Entry'!N247&lt;&gt;9999,'Ballot Entry'!N247, "")</f>
        <v/>
      </c>
      <c r="E314" s="9" t="str">
        <f>IF('Ballot Entry'!$M247&lt;&gt;9999,'Ballot Entry'!Q247,"")</f>
        <v/>
      </c>
      <c r="F314" s="9" t="e">
        <f t="shared" si="233"/>
        <v>#N/A</v>
      </c>
      <c r="G314" s="9" t="e">
        <f t="shared" si="234"/>
        <v>#VALUE!</v>
      </c>
      <c r="H314" s="395" t="e">
        <f t="shared" ref="H314:K314" si="247">H279</f>
        <v>#N/A</v>
      </c>
      <c r="I314" s="395" t="e">
        <f t="shared" si="247"/>
        <v>#N/A</v>
      </c>
      <c r="J314" s="395" t="e">
        <f t="shared" si="247"/>
        <v>#N/A</v>
      </c>
      <c r="K314" s="395" t="e">
        <f t="shared" si="247"/>
        <v>#N/A</v>
      </c>
      <c r="O314" s="396"/>
      <c r="Q314" s="396"/>
    </row>
    <row r="315" spans="1:17" x14ac:dyDescent="0.2">
      <c r="A315" s="395">
        <v>3</v>
      </c>
      <c r="B315" s="395">
        <v>3</v>
      </c>
      <c r="C315" s="9" t="str">
        <f>IF('Ballot Entry'!M248&lt;&gt;9999,'Ballot Entry'!M248, "")</f>
        <v/>
      </c>
      <c r="D315" s="9" t="str">
        <f>IF('Ballot Entry'!N248&lt;&gt;9999,'Ballot Entry'!N248, "")</f>
        <v/>
      </c>
      <c r="E315" s="9" t="str">
        <f>IF('Ballot Entry'!$M248&lt;&gt;9999,'Ballot Entry'!Q248,"")</f>
        <v/>
      </c>
      <c r="F315" s="9" t="e">
        <f t="shared" si="233"/>
        <v>#N/A</v>
      </c>
      <c r="G315" s="9" t="e">
        <f t="shared" si="234"/>
        <v>#VALUE!</v>
      </c>
      <c r="H315" s="395" t="e">
        <f t="shared" ref="H315:K315" si="248">H280</f>
        <v>#N/A</v>
      </c>
      <c r="I315" s="395" t="e">
        <f t="shared" si="248"/>
        <v>#N/A</v>
      </c>
      <c r="J315" s="395" t="e">
        <f t="shared" si="248"/>
        <v>#N/A</v>
      </c>
      <c r="K315" s="395" t="e">
        <f t="shared" si="248"/>
        <v>#N/A</v>
      </c>
    </row>
    <row r="316" spans="1:17" x14ac:dyDescent="0.2">
      <c r="A316" s="395">
        <v>3</v>
      </c>
      <c r="B316" s="395">
        <v>3</v>
      </c>
      <c r="C316" s="9" t="str">
        <f>IF('Ballot Entry'!M249&lt;&gt;9999,'Ballot Entry'!M249, "")</f>
        <v/>
      </c>
      <c r="D316" s="9" t="str">
        <f>IF('Ballot Entry'!N249&lt;&gt;9999,'Ballot Entry'!N249, "")</f>
        <v/>
      </c>
      <c r="E316" s="9" t="str">
        <f>IF('Ballot Entry'!$M249&lt;&gt;9999,'Ballot Entry'!Q249,"")</f>
        <v/>
      </c>
      <c r="F316" s="9" t="e">
        <f t="shared" si="233"/>
        <v>#N/A</v>
      </c>
      <c r="G316" s="9" t="e">
        <f t="shared" si="234"/>
        <v>#VALUE!</v>
      </c>
      <c r="H316" s="395" t="e">
        <f t="shared" ref="H316:K316" si="249">H281</f>
        <v>#N/A</v>
      </c>
      <c r="I316" s="395" t="e">
        <f t="shared" si="249"/>
        <v>#N/A</v>
      </c>
      <c r="J316" s="395" t="e">
        <f t="shared" si="249"/>
        <v>#N/A</v>
      </c>
      <c r="K316" s="395" t="e">
        <f t="shared" si="249"/>
        <v>#N/A</v>
      </c>
    </row>
    <row r="317" spans="1:17" x14ac:dyDescent="0.2">
      <c r="A317" s="395">
        <v>4</v>
      </c>
      <c r="B317" s="395">
        <v>1</v>
      </c>
      <c r="C317" s="9">
        <f>IF('Ballot Entry'!M321&lt;&gt;9999,'Ballot Entry'!M321, "")</f>
        <v>1506</v>
      </c>
      <c r="D317" s="9">
        <f>IF('Ballot Entry'!N321&lt;&gt;9999,'Ballot Entry'!N321, "")</f>
        <v>1001</v>
      </c>
      <c r="E317" s="9">
        <f>IF('Ballot Entry'!$M321&lt;&gt;9999,'Ballot Entry'!O321,"")</f>
        <v>10</v>
      </c>
      <c r="F317" s="9" t="str">
        <f t="shared" si="233"/>
        <v>P</v>
      </c>
      <c r="G317" s="9">
        <f t="shared" si="234"/>
        <v>10</v>
      </c>
      <c r="H317" s="396" t="e">
        <f>'Captains Info'!N330</f>
        <v>#N/A</v>
      </c>
      <c r="I317" s="396" t="e">
        <f t="shared" si="168"/>
        <v>#N/A</v>
      </c>
      <c r="J317" s="396" t="e">
        <f>'Captains Info'!O330</f>
        <v>#N/A</v>
      </c>
      <c r="K317" s="396" t="e">
        <f t="shared" si="169"/>
        <v>#N/A</v>
      </c>
      <c r="O317" s="396"/>
      <c r="Q317" s="396"/>
    </row>
    <row r="318" spans="1:17" x14ac:dyDescent="0.2">
      <c r="A318" s="395">
        <v>4</v>
      </c>
      <c r="B318" s="395">
        <v>1</v>
      </c>
      <c r="C318" s="9">
        <f>IF('Ballot Entry'!M322&lt;&gt;9999,'Ballot Entry'!M322, "")</f>
        <v>1410</v>
      </c>
      <c r="D318" s="9">
        <f>IF('Ballot Entry'!N322&lt;&gt;9999,'Ballot Entry'!N322, "")</f>
        <v>1489</v>
      </c>
      <c r="E318" s="9">
        <f>IF('Ballot Entry'!$M322&lt;&gt;9999,'Ballot Entry'!O322,"")</f>
        <v>20</v>
      </c>
      <c r="F318" s="9" t="str">
        <f t="shared" si="175"/>
        <v>P</v>
      </c>
      <c r="G318" s="9">
        <f t="shared" si="170"/>
        <v>20</v>
      </c>
      <c r="H318" s="396" t="e">
        <f>'Captains Info'!N333</f>
        <v>#N/A</v>
      </c>
      <c r="I318" s="396" t="e">
        <f t="shared" si="168"/>
        <v>#N/A</v>
      </c>
      <c r="J318" s="396" t="e">
        <f>'Captains Info'!O333</f>
        <v>#N/A</v>
      </c>
      <c r="K318" s="396" t="e">
        <f t="shared" si="169"/>
        <v>#N/A</v>
      </c>
    </row>
    <row r="319" spans="1:17" x14ac:dyDescent="0.2">
      <c r="A319" s="395">
        <v>4</v>
      </c>
      <c r="B319" s="395">
        <v>1</v>
      </c>
      <c r="C319" s="9">
        <f>IF('Ballot Entry'!M323&lt;&gt;9999,'Ballot Entry'!M323, "")</f>
        <v>1577</v>
      </c>
      <c r="D319" s="9">
        <f>IF('Ballot Entry'!N323&lt;&gt;9999,'Ballot Entry'!N323, "")</f>
        <v>1517</v>
      </c>
      <c r="E319" s="9">
        <f>IF('Ballot Entry'!$M323&lt;&gt;9999,'Ballot Entry'!O323,"")</f>
        <v>10</v>
      </c>
      <c r="F319" s="9" t="str">
        <f t="shared" si="175"/>
        <v>P</v>
      </c>
      <c r="G319" s="9">
        <f t="shared" si="170"/>
        <v>10</v>
      </c>
      <c r="H319" s="396" t="e">
        <f>'Captains Info'!N336</f>
        <v>#N/A</v>
      </c>
      <c r="I319" s="396" t="e">
        <f t="shared" si="168"/>
        <v>#N/A</v>
      </c>
      <c r="J319" s="396" t="e">
        <f>'Captains Info'!O336</f>
        <v>#N/A</v>
      </c>
      <c r="K319" s="396" t="e">
        <f t="shared" si="169"/>
        <v>#N/A</v>
      </c>
    </row>
    <row r="320" spans="1:17" x14ac:dyDescent="0.2">
      <c r="A320" s="395">
        <v>4</v>
      </c>
      <c r="B320" s="395">
        <v>1</v>
      </c>
      <c r="C320" s="9">
        <f>IF('Ballot Entry'!M324&lt;&gt;9999,'Ballot Entry'!M324, "")</f>
        <v>1029</v>
      </c>
      <c r="D320" s="9">
        <f>IF('Ballot Entry'!N324&lt;&gt;9999,'Ballot Entry'!N324, "")</f>
        <v>1616</v>
      </c>
      <c r="E320" s="9">
        <f>IF('Ballot Entry'!$M324&lt;&gt;9999,'Ballot Entry'!O324,"")</f>
        <v>-6</v>
      </c>
      <c r="F320" s="9" t="str">
        <f t="shared" si="175"/>
        <v>D</v>
      </c>
      <c r="G320" s="9">
        <f t="shared" si="170"/>
        <v>6</v>
      </c>
      <c r="H320" s="396" t="e">
        <f>'Captains Info'!N339</f>
        <v>#N/A</v>
      </c>
      <c r="I320" s="396" t="e">
        <f t="shared" si="168"/>
        <v>#N/A</v>
      </c>
      <c r="J320" s="396" t="e">
        <f>'Captains Info'!O339</f>
        <v>#N/A</v>
      </c>
      <c r="K320" s="396" t="e">
        <f t="shared" si="169"/>
        <v>#N/A</v>
      </c>
      <c r="O320" s="396"/>
      <c r="Q320" s="396"/>
    </row>
    <row r="321" spans="1:17" x14ac:dyDescent="0.2">
      <c r="A321" s="395">
        <v>4</v>
      </c>
      <c r="B321" s="395">
        <v>1</v>
      </c>
      <c r="C321" s="9">
        <f>IF('Ballot Entry'!M325&lt;&gt;9999,'Ballot Entry'!M325, "")</f>
        <v>1051</v>
      </c>
      <c r="D321" s="9">
        <f>IF('Ballot Entry'!N325&lt;&gt;9999,'Ballot Entry'!N325, "")</f>
        <v>1217</v>
      </c>
      <c r="E321" s="9">
        <f>IF('Ballot Entry'!$M325&lt;&gt;9999,'Ballot Entry'!O325,"")</f>
        <v>-16</v>
      </c>
      <c r="F321" s="9" t="str">
        <f t="shared" si="175"/>
        <v>D</v>
      </c>
      <c r="G321" s="9">
        <f t="shared" si="170"/>
        <v>16</v>
      </c>
      <c r="H321" s="396" t="e">
        <f>'Captains Info'!N342</f>
        <v>#N/A</v>
      </c>
      <c r="I321" s="396" t="e">
        <f t="shared" si="168"/>
        <v>#N/A</v>
      </c>
      <c r="J321" s="396" t="e">
        <f>'Captains Info'!O342</f>
        <v>#N/A</v>
      </c>
      <c r="K321" s="396" t="e">
        <f t="shared" si="169"/>
        <v>#N/A</v>
      </c>
    </row>
    <row r="322" spans="1:17" x14ac:dyDescent="0.2">
      <c r="A322" s="395">
        <v>4</v>
      </c>
      <c r="B322" s="395">
        <v>1</v>
      </c>
      <c r="C322" s="9">
        <f>IF('Ballot Entry'!M326&lt;&gt;9999,'Ballot Entry'!M326, "")</f>
        <v>1492</v>
      </c>
      <c r="D322" s="9">
        <f>IF('Ballot Entry'!N326&lt;&gt;9999,'Ballot Entry'!N326, "")</f>
        <v>1258</v>
      </c>
      <c r="E322" s="9">
        <f>IF('Ballot Entry'!$M326&lt;&gt;9999,'Ballot Entry'!O326,"")</f>
        <v>-18</v>
      </c>
      <c r="F322" s="9" t="str">
        <f t="shared" si="175"/>
        <v>D</v>
      </c>
      <c r="G322" s="9">
        <f t="shared" si="170"/>
        <v>18</v>
      </c>
      <c r="H322" s="396" t="e">
        <f>'Captains Info'!N345</f>
        <v>#N/A</v>
      </c>
      <c r="I322" s="396" t="e">
        <f t="shared" si="168"/>
        <v>#N/A</v>
      </c>
      <c r="J322" s="396" t="e">
        <f>'Captains Info'!O345</f>
        <v>#N/A</v>
      </c>
      <c r="K322" s="396" t="e">
        <f t="shared" si="169"/>
        <v>#N/A</v>
      </c>
    </row>
    <row r="323" spans="1:17" x14ac:dyDescent="0.2">
      <c r="A323" s="395">
        <v>4</v>
      </c>
      <c r="B323" s="395">
        <v>1</v>
      </c>
      <c r="C323" s="9">
        <f>IF('Ballot Entry'!M327&lt;&gt;9999,'Ballot Entry'!M327, "")</f>
        <v>1078</v>
      </c>
      <c r="D323" s="9">
        <f>IF('Ballot Entry'!N327&lt;&gt;9999,'Ballot Entry'!N327, "")</f>
        <v>1262</v>
      </c>
      <c r="E323" s="9">
        <f>IF('Ballot Entry'!$M327&lt;&gt;9999,'Ballot Entry'!O327,"")</f>
        <v>-2</v>
      </c>
      <c r="F323" s="9" t="str">
        <f t="shared" si="175"/>
        <v>D</v>
      </c>
      <c r="G323" s="9">
        <f t="shared" si="170"/>
        <v>2</v>
      </c>
      <c r="H323" s="396" t="e">
        <f>'Captains Info'!N348</f>
        <v>#N/A</v>
      </c>
      <c r="I323" s="396" t="e">
        <f t="shared" si="168"/>
        <v>#N/A</v>
      </c>
      <c r="J323" s="396" t="e">
        <f>'Captains Info'!O348</f>
        <v>#N/A</v>
      </c>
      <c r="K323" s="396" t="e">
        <f t="shared" si="169"/>
        <v>#N/A</v>
      </c>
      <c r="O323" s="396"/>
      <c r="Q323" s="396"/>
    </row>
    <row r="324" spans="1:17" x14ac:dyDescent="0.2">
      <c r="A324" s="395">
        <v>4</v>
      </c>
      <c r="B324" s="395">
        <v>1</v>
      </c>
      <c r="C324" s="9">
        <f>IF('Ballot Entry'!M328&lt;&gt;9999,'Ballot Entry'!M328, "")</f>
        <v>1224</v>
      </c>
      <c r="D324" s="9">
        <f>IF('Ballot Entry'!N328&lt;&gt;9999,'Ballot Entry'!N328, "")</f>
        <v>1693</v>
      </c>
      <c r="E324" s="9">
        <f>IF('Ballot Entry'!$M328&lt;&gt;9999,'Ballot Entry'!O328,"")</f>
        <v>1</v>
      </c>
      <c r="F324" s="9" t="str">
        <f t="shared" si="175"/>
        <v>P</v>
      </c>
      <c r="G324" s="9">
        <f t="shared" si="170"/>
        <v>1</v>
      </c>
      <c r="H324" s="396" t="e">
        <f>'Captains Info'!N351</f>
        <v>#N/A</v>
      </c>
      <c r="I324" s="396" t="e">
        <f t="shared" si="168"/>
        <v>#N/A</v>
      </c>
      <c r="J324" s="396" t="e">
        <f>'Captains Info'!O351</f>
        <v>#N/A</v>
      </c>
      <c r="K324" s="396" t="e">
        <f t="shared" si="169"/>
        <v>#N/A</v>
      </c>
    </row>
    <row r="325" spans="1:17" x14ac:dyDescent="0.2">
      <c r="A325" s="395">
        <v>4</v>
      </c>
      <c r="B325" s="395">
        <v>1</v>
      </c>
      <c r="C325" s="9">
        <f>IF('Ballot Entry'!M329&lt;&gt;9999,'Ballot Entry'!M329, "")</f>
        <v>1557</v>
      </c>
      <c r="D325" s="9">
        <f>IF('Ballot Entry'!N329&lt;&gt;9999,'Ballot Entry'!N329, "")</f>
        <v>1268</v>
      </c>
      <c r="E325" s="9">
        <f>IF('Ballot Entry'!$M329&lt;&gt;9999,'Ballot Entry'!O329,"")</f>
        <v>-6</v>
      </c>
      <c r="F325" s="9" t="str">
        <f t="shared" si="175"/>
        <v>D</v>
      </c>
      <c r="G325" s="9">
        <f t="shared" si="170"/>
        <v>6</v>
      </c>
      <c r="H325" s="396" t="e">
        <f>'Captains Info'!N354</f>
        <v>#N/A</v>
      </c>
      <c r="I325" s="396" t="e">
        <f t="shared" si="168"/>
        <v>#N/A</v>
      </c>
      <c r="J325" s="396" t="e">
        <f>'Captains Info'!O354</f>
        <v>#N/A</v>
      </c>
      <c r="K325" s="396" t="e">
        <f t="shared" si="169"/>
        <v>#N/A</v>
      </c>
    </row>
    <row r="326" spans="1:17" x14ac:dyDescent="0.2">
      <c r="A326" s="395">
        <v>4</v>
      </c>
      <c r="B326" s="395">
        <v>1</v>
      </c>
      <c r="C326" s="9" t="str">
        <f>IF('Ballot Entry'!M330&lt;&gt;9999,'Ballot Entry'!M330, "")</f>
        <v/>
      </c>
      <c r="D326" s="9" t="str">
        <f>IF('Ballot Entry'!N330&lt;&gt;9999,'Ballot Entry'!N330, "")</f>
        <v/>
      </c>
      <c r="E326" s="9" t="str">
        <f>IF('Ballot Entry'!$M330&lt;&gt;9999,'Ballot Entry'!O330,"")</f>
        <v/>
      </c>
      <c r="F326" s="9" t="e">
        <f t="shared" si="175"/>
        <v>#N/A</v>
      </c>
      <c r="G326" s="9" t="e">
        <f t="shared" si="170"/>
        <v>#VALUE!</v>
      </c>
      <c r="H326" s="396" t="e">
        <f>'Captains Info'!N357</f>
        <v>#N/A</v>
      </c>
      <c r="I326" s="396" t="e">
        <f t="shared" si="168"/>
        <v>#N/A</v>
      </c>
      <c r="J326" s="396" t="e">
        <f>'Captains Info'!O357</f>
        <v>#N/A</v>
      </c>
      <c r="K326" s="396" t="e">
        <f t="shared" si="169"/>
        <v>#N/A</v>
      </c>
      <c r="O326" s="396"/>
      <c r="Q326" s="396"/>
    </row>
    <row r="327" spans="1:17" x14ac:dyDescent="0.2">
      <c r="A327" s="395">
        <v>4</v>
      </c>
      <c r="B327" s="395">
        <v>1</v>
      </c>
      <c r="C327" s="9" t="str">
        <f>IF('Ballot Entry'!M331&lt;&gt;9999,'Ballot Entry'!M331, "")</f>
        <v/>
      </c>
      <c r="D327" s="9" t="str">
        <f>IF('Ballot Entry'!N331&lt;&gt;9999,'Ballot Entry'!N331, "")</f>
        <v/>
      </c>
      <c r="E327" s="9" t="str">
        <f>IF('Ballot Entry'!$M331&lt;&gt;9999,'Ballot Entry'!O331,"")</f>
        <v/>
      </c>
      <c r="F327" s="9" t="e">
        <f t="shared" si="175"/>
        <v>#N/A</v>
      </c>
      <c r="G327" s="9" t="e">
        <f t="shared" si="170"/>
        <v>#VALUE!</v>
      </c>
      <c r="H327" s="396" t="e">
        <f>'Captains Info'!N360</f>
        <v>#N/A</v>
      </c>
      <c r="I327" s="396" t="e">
        <f t="shared" si="168"/>
        <v>#N/A</v>
      </c>
      <c r="J327" s="396" t="e">
        <f>'Captains Info'!O360</f>
        <v>#N/A</v>
      </c>
      <c r="K327" s="396" t="e">
        <f t="shared" si="169"/>
        <v>#N/A</v>
      </c>
    </row>
    <row r="328" spans="1:17" x14ac:dyDescent="0.2">
      <c r="A328" s="395">
        <v>4</v>
      </c>
      <c r="B328" s="395">
        <v>1</v>
      </c>
      <c r="C328" s="9" t="str">
        <f>IF('Ballot Entry'!M332&lt;&gt;9999,'Ballot Entry'!M332, "")</f>
        <v/>
      </c>
      <c r="D328" s="9" t="str">
        <f>IF('Ballot Entry'!N332&lt;&gt;9999,'Ballot Entry'!N332, "")</f>
        <v/>
      </c>
      <c r="E328" s="9" t="str">
        <f>IF('Ballot Entry'!$M332&lt;&gt;9999,'Ballot Entry'!O332,"")</f>
        <v/>
      </c>
      <c r="F328" s="9" t="e">
        <f t="shared" si="175"/>
        <v>#N/A</v>
      </c>
      <c r="G328" s="9" t="e">
        <f t="shared" si="170"/>
        <v>#VALUE!</v>
      </c>
      <c r="H328" s="396" t="e">
        <f>'Captains Info'!N363</f>
        <v>#N/A</v>
      </c>
      <c r="I328" s="396" t="e">
        <f t="shared" si="168"/>
        <v>#N/A</v>
      </c>
      <c r="J328" s="396" t="e">
        <f>'Captains Info'!O363</f>
        <v>#N/A</v>
      </c>
      <c r="K328" s="396" t="e">
        <f t="shared" si="169"/>
        <v>#N/A</v>
      </c>
    </row>
    <row r="329" spans="1:17" x14ac:dyDescent="0.2">
      <c r="A329" s="395">
        <v>4</v>
      </c>
      <c r="B329" s="395">
        <v>1</v>
      </c>
      <c r="C329" s="9" t="str">
        <f>IF('Ballot Entry'!M333&lt;&gt;9999,'Ballot Entry'!M333, "")</f>
        <v/>
      </c>
      <c r="D329" s="9" t="str">
        <f>IF('Ballot Entry'!N333&lt;&gt;9999,'Ballot Entry'!N333, "")</f>
        <v/>
      </c>
      <c r="E329" s="9" t="str">
        <f>IF('Ballot Entry'!$M333&lt;&gt;9999,'Ballot Entry'!O333,"")</f>
        <v/>
      </c>
      <c r="F329" s="9" t="e">
        <f t="shared" si="175"/>
        <v>#N/A</v>
      </c>
      <c r="G329" s="9" t="e">
        <f t="shared" si="170"/>
        <v>#VALUE!</v>
      </c>
      <c r="H329" s="396" t="e">
        <f>'Captains Info'!N366</f>
        <v>#N/A</v>
      </c>
      <c r="I329" s="396" t="e">
        <f t="shared" ref="I329:I335" si="250">VLOOKUP(H329,PComb,2,FALSE )</f>
        <v>#N/A</v>
      </c>
      <c r="J329" s="396" t="e">
        <f>'Captains Info'!O366</f>
        <v>#N/A</v>
      </c>
      <c r="K329" s="396" t="e">
        <f t="shared" ref="K329:K335" si="251">VLOOKUP(J329,DComb,2,FALSE )</f>
        <v>#N/A</v>
      </c>
      <c r="O329" s="396"/>
      <c r="Q329" s="396"/>
    </row>
    <row r="330" spans="1:17" x14ac:dyDescent="0.2">
      <c r="A330" s="395">
        <v>4</v>
      </c>
      <c r="B330" s="395">
        <v>1</v>
      </c>
      <c r="C330" s="9" t="str">
        <f>IF('Ballot Entry'!M334&lt;&gt;9999,'Ballot Entry'!M334, "")</f>
        <v/>
      </c>
      <c r="D330" s="9" t="str">
        <f>IF('Ballot Entry'!N334&lt;&gt;9999,'Ballot Entry'!N334, "")</f>
        <v/>
      </c>
      <c r="E330" s="9" t="str">
        <f>IF('Ballot Entry'!$M334&lt;&gt;9999,'Ballot Entry'!O334,"")</f>
        <v/>
      </c>
      <c r="F330" s="9" t="e">
        <f t="shared" si="175"/>
        <v>#N/A</v>
      </c>
      <c r="G330" s="9" t="e">
        <f t="shared" ref="G330:G406" si="252">ABS(E330)</f>
        <v>#VALUE!</v>
      </c>
      <c r="H330" s="396" t="e">
        <f>'Captains Info'!N369</f>
        <v>#N/A</v>
      </c>
      <c r="I330" s="396" t="e">
        <f t="shared" si="250"/>
        <v>#N/A</v>
      </c>
      <c r="J330" s="396" t="e">
        <f>'Captains Info'!O369</f>
        <v>#N/A</v>
      </c>
      <c r="K330" s="396" t="e">
        <f t="shared" si="251"/>
        <v>#N/A</v>
      </c>
    </row>
    <row r="331" spans="1:17" x14ac:dyDescent="0.2">
      <c r="A331" s="395">
        <v>4</v>
      </c>
      <c r="B331" s="395">
        <v>1</v>
      </c>
      <c r="C331" s="9" t="str">
        <f>IF('Ballot Entry'!M335&lt;&gt;9999,'Ballot Entry'!M335, "")</f>
        <v/>
      </c>
      <c r="D331" s="9" t="str">
        <f>IF('Ballot Entry'!N335&lt;&gt;9999,'Ballot Entry'!N335, "")</f>
        <v/>
      </c>
      <c r="E331" s="9" t="str">
        <f>IF('Ballot Entry'!$M335&lt;&gt;9999,'Ballot Entry'!O335,"")</f>
        <v/>
      </c>
      <c r="F331" s="9" t="e">
        <f t="shared" si="175"/>
        <v>#N/A</v>
      </c>
      <c r="G331" s="9" t="e">
        <f t="shared" si="252"/>
        <v>#VALUE!</v>
      </c>
      <c r="H331" s="396" t="e">
        <f>'Captains Info'!N372</f>
        <v>#N/A</v>
      </c>
      <c r="I331" s="396" t="e">
        <f t="shared" si="250"/>
        <v>#N/A</v>
      </c>
      <c r="J331" s="396" t="e">
        <f>'Captains Info'!O372</f>
        <v>#N/A</v>
      </c>
      <c r="K331" s="396" t="e">
        <f t="shared" si="251"/>
        <v>#N/A</v>
      </c>
    </row>
    <row r="332" spans="1:17" x14ac:dyDescent="0.2">
      <c r="A332" s="395">
        <v>4</v>
      </c>
      <c r="B332" s="395">
        <v>1</v>
      </c>
      <c r="C332" s="9" t="str">
        <f>IF('Ballot Entry'!M336&lt;&gt;9999,'Ballot Entry'!M336, "")</f>
        <v/>
      </c>
      <c r="D332" s="9" t="str">
        <f>IF('Ballot Entry'!N336&lt;&gt;9999,'Ballot Entry'!N336, "")</f>
        <v/>
      </c>
      <c r="E332" s="9" t="str">
        <f>IF('Ballot Entry'!$M336&lt;&gt;9999,'Ballot Entry'!O336,"")</f>
        <v/>
      </c>
      <c r="F332" s="9" t="e">
        <f t="shared" si="175"/>
        <v>#N/A</v>
      </c>
      <c r="G332" s="9" t="e">
        <f t="shared" si="252"/>
        <v>#VALUE!</v>
      </c>
      <c r="H332" s="396" t="e">
        <f>'Captains Info'!N375</f>
        <v>#N/A</v>
      </c>
      <c r="I332" s="396" t="e">
        <f t="shared" si="250"/>
        <v>#N/A</v>
      </c>
      <c r="J332" s="396" t="e">
        <f>'Captains Info'!O375</f>
        <v>#N/A</v>
      </c>
      <c r="K332" s="396" t="e">
        <f t="shared" si="251"/>
        <v>#N/A</v>
      </c>
      <c r="O332" s="396"/>
      <c r="Q332" s="396"/>
    </row>
    <row r="333" spans="1:17" x14ac:dyDescent="0.2">
      <c r="A333" s="395">
        <v>4</v>
      </c>
      <c r="B333" s="395">
        <v>1</v>
      </c>
      <c r="C333" s="9" t="str">
        <f>IF('Ballot Entry'!M337&lt;&gt;9999,'Ballot Entry'!M337, "")</f>
        <v/>
      </c>
      <c r="D333" s="9" t="str">
        <f>IF('Ballot Entry'!N337&lt;&gt;9999,'Ballot Entry'!N337, "")</f>
        <v/>
      </c>
      <c r="E333" s="9" t="str">
        <f>IF('Ballot Entry'!$M337&lt;&gt;9999,'Ballot Entry'!O337,"")</f>
        <v/>
      </c>
      <c r="F333" s="9" t="e">
        <f t="shared" si="175"/>
        <v>#N/A</v>
      </c>
      <c r="G333" s="9" t="e">
        <f t="shared" si="252"/>
        <v>#VALUE!</v>
      </c>
      <c r="H333" s="396" t="e">
        <f>'Captains Info'!N378</f>
        <v>#N/A</v>
      </c>
      <c r="I333" s="396" t="e">
        <f t="shared" si="250"/>
        <v>#N/A</v>
      </c>
      <c r="J333" s="396" t="e">
        <f>'Captains Info'!O378</f>
        <v>#N/A</v>
      </c>
      <c r="K333" s="396" t="e">
        <f t="shared" si="251"/>
        <v>#N/A</v>
      </c>
    </row>
    <row r="334" spans="1:17" x14ac:dyDescent="0.2">
      <c r="A334" s="395">
        <v>4</v>
      </c>
      <c r="B334" s="395">
        <v>1</v>
      </c>
      <c r="C334" s="9" t="str">
        <f>IF('Ballot Entry'!M338&lt;&gt;9999,'Ballot Entry'!M338, "")</f>
        <v/>
      </c>
      <c r="D334" s="9" t="str">
        <f>IF('Ballot Entry'!N338&lt;&gt;9999,'Ballot Entry'!N338, "")</f>
        <v/>
      </c>
      <c r="E334" s="9" t="str">
        <f>IF('Ballot Entry'!$M338&lt;&gt;9999,'Ballot Entry'!O338,"")</f>
        <v/>
      </c>
      <c r="F334" s="9" t="e">
        <f t="shared" si="175"/>
        <v>#N/A</v>
      </c>
      <c r="G334" s="9" t="e">
        <f t="shared" si="252"/>
        <v>#VALUE!</v>
      </c>
      <c r="H334" s="396" t="e">
        <f>'Captains Info'!N381</f>
        <v>#N/A</v>
      </c>
      <c r="I334" s="396" t="e">
        <f t="shared" si="250"/>
        <v>#N/A</v>
      </c>
      <c r="J334" s="396" t="e">
        <f>'Captains Info'!O381</f>
        <v>#N/A</v>
      </c>
      <c r="K334" s="396" t="e">
        <f t="shared" si="251"/>
        <v>#N/A</v>
      </c>
    </row>
    <row r="335" spans="1:17" x14ac:dyDescent="0.2">
      <c r="A335" s="395">
        <v>4</v>
      </c>
      <c r="B335" s="395">
        <v>1</v>
      </c>
      <c r="C335" s="9" t="str">
        <f>IF('Ballot Entry'!M339&lt;&gt;9999,'Ballot Entry'!M339, "")</f>
        <v/>
      </c>
      <c r="D335" s="9" t="str">
        <f>IF('Ballot Entry'!N339&lt;&gt;9999,'Ballot Entry'!N339, "")</f>
        <v/>
      </c>
      <c r="E335" s="9" t="str">
        <f>IF('Ballot Entry'!$M339&lt;&gt;9999,'Ballot Entry'!O339,"")</f>
        <v/>
      </c>
      <c r="F335" s="9" t="e">
        <f t="shared" si="175"/>
        <v>#N/A</v>
      </c>
      <c r="G335" s="9" t="e">
        <f t="shared" si="252"/>
        <v>#VALUE!</v>
      </c>
      <c r="H335" s="396" t="e">
        <f>'Captains Info'!N384</f>
        <v>#N/A</v>
      </c>
      <c r="I335" s="396" t="e">
        <f t="shared" si="250"/>
        <v>#N/A</v>
      </c>
      <c r="J335" s="396" t="e">
        <f>'Captains Info'!O384</f>
        <v>#N/A</v>
      </c>
      <c r="K335" s="396" t="e">
        <f t="shared" si="251"/>
        <v>#N/A</v>
      </c>
      <c r="O335" s="396"/>
      <c r="Q335" s="396"/>
    </row>
    <row r="336" spans="1:17" x14ac:dyDescent="0.2">
      <c r="A336" s="395">
        <v>4</v>
      </c>
      <c r="B336" s="395">
        <v>1</v>
      </c>
      <c r="C336" s="9" t="str">
        <f>IF('Ballot Entry'!M340&lt;&gt;9999,'Ballot Entry'!M340, "")</f>
        <v/>
      </c>
      <c r="D336" s="9" t="str">
        <f>IF('Ballot Entry'!N340&lt;&gt;9999,'Ballot Entry'!N340, "")</f>
        <v/>
      </c>
      <c r="E336" s="9" t="str">
        <f>IF('Ballot Entry'!$M340&lt;&gt;9999,'Ballot Entry'!O340,"")</f>
        <v/>
      </c>
      <c r="F336" s="9" t="e">
        <f t="shared" si="175"/>
        <v>#N/A</v>
      </c>
      <c r="G336" s="9" t="e">
        <f t="shared" si="252"/>
        <v>#VALUE!</v>
      </c>
      <c r="H336" s="396" t="e">
        <f>'Captains Info'!N387</f>
        <v>#N/A</v>
      </c>
      <c r="I336" s="396" t="e">
        <f t="shared" ref="I336:I351" si="253">VLOOKUP(H336,PComb,2,FALSE )</f>
        <v>#N/A</v>
      </c>
      <c r="J336" s="396" t="e">
        <f>'Captains Info'!O387</f>
        <v>#N/A</v>
      </c>
      <c r="K336" s="396" t="e">
        <f t="shared" ref="K336:K351" si="254">VLOOKUP(J336,DComb,2,FALSE )</f>
        <v>#N/A</v>
      </c>
    </row>
    <row r="337" spans="1:17" x14ac:dyDescent="0.2">
      <c r="A337" s="395">
        <v>4</v>
      </c>
      <c r="B337" s="395">
        <v>1</v>
      </c>
      <c r="C337" s="9" t="str">
        <f>IF('Ballot Entry'!M341&lt;&gt;9999,'Ballot Entry'!M341, "")</f>
        <v/>
      </c>
      <c r="D337" s="9" t="str">
        <f>IF('Ballot Entry'!N341&lt;&gt;9999,'Ballot Entry'!N341, "")</f>
        <v/>
      </c>
      <c r="E337" s="9" t="str">
        <f>IF('Ballot Entry'!$M341&lt;&gt;9999,'Ballot Entry'!O341,"")</f>
        <v/>
      </c>
      <c r="F337" s="9" t="e">
        <f t="shared" si="175"/>
        <v>#N/A</v>
      </c>
      <c r="G337" s="9" t="e">
        <f t="shared" si="252"/>
        <v>#VALUE!</v>
      </c>
      <c r="H337" s="396" t="e">
        <f>'Captains Info'!N390</f>
        <v>#N/A</v>
      </c>
      <c r="I337" s="396" t="e">
        <f t="shared" si="253"/>
        <v>#N/A</v>
      </c>
      <c r="J337" s="396" t="e">
        <f>'Captains Info'!O390</f>
        <v>#N/A</v>
      </c>
      <c r="K337" s="396" t="e">
        <f t="shared" si="254"/>
        <v>#N/A</v>
      </c>
    </row>
    <row r="338" spans="1:17" x14ac:dyDescent="0.2">
      <c r="A338" s="395">
        <v>4</v>
      </c>
      <c r="B338" s="395">
        <v>1</v>
      </c>
      <c r="C338" s="9" t="str">
        <f>IF('Ballot Entry'!M342&lt;&gt;9999,'Ballot Entry'!M342, "")</f>
        <v/>
      </c>
      <c r="D338" s="9" t="str">
        <f>IF('Ballot Entry'!N342&lt;&gt;9999,'Ballot Entry'!N342, "")</f>
        <v/>
      </c>
      <c r="E338" s="9" t="str">
        <f>IF('Ballot Entry'!$M342&lt;&gt;9999,'Ballot Entry'!O342,"")</f>
        <v/>
      </c>
      <c r="F338" s="9" t="e">
        <f t="shared" si="175"/>
        <v>#N/A</v>
      </c>
      <c r="G338" s="9" t="e">
        <f t="shared" si="252"/>
        <v>#VALUE!</v>
      </c>
      <c r="H338" s="396" t="e">
        <f>'Captains Info'!N393</f>
        <v>#N/A</v>
      </c>
      <c r="I338" s="396" t="e">
        <f t="shared" si="253"/>
        <v>#N/A</v>
      </c>
      <c r="J338" s="396" t="e">
        <f>'Captains Info'!O393</f>
        <v>#N/A</v>
      </c>
      <c r="K338" s="396" t="e">
        <f t="shared" si="254"/>
        <v>#N/A</v>
      </c>
      <c r="Q338" s="396"/>
    </row>
    <row r="339" spans="1:17" x14ac:dyDescent="0.2">
      <c r="A339" s="395">
        <v>4</v>
      </c>
      <c r="B339" s="395">
        <v>1</v>
      </c>
      <c r="C339" s="9" t="str">
        <f>IF('Ballot Entry'!M343&lt;&gt;9999,'Ballot Entry'!M343, "")</f>
        <v/>
      </c>
      <c r="D339" s="9" t="str">
        <f>IF('Ballot Entry'!N343&lt;&gt;9999,'Ballot Entry'!N343, "")</f>
        <v/>
      </c>
      <c r="E339" s="9" t="str">
        <f>IF('Ballot Entry'!$M343&lt;&gt;9999,'Ballot Entry'!O343,"")</f>
        <v/>
      </c>
      <c r="F339" s="9" t="e">
        <f t="shared" si="175"/>
        <v>#N/A</v>
      </c>
      <c r="G339" s="9" t="e">
        <f t="shared" si="252"/>
        <v>#VALUE!</v>
      </c>
      <c r="H339" s="396" t="e">
        <f>'Captains Info'!N396</f>
        <v>#N/A</v>
      </c>
      <c r="I339" s="396" t="e">
        <f t="shared" si="253"/>
        <v>#N/A</v>
      </c>
      <c r="J339" s="396" t="e">
        <f>'Captains Info'!O396</f>
        <v>#N/A</v>
      </c>
      <c r="K339" s="396" t="e">
        <f t="shared" si="254"/>
        <v>#N/A</v>
      </c>
    </row>
    <row r="340" spans="1:17" x14ac:dyDescent="0.2">
      <c r="A340" s="395">
        <v>4</v>
      </c>
      <c r="B340" s="395">
        <v>1</v>
      </c>
      <c r="C340" s="9" t="str">
        <f>IF('Ballot Entry'!M344&lt;&gt;9999,'Ballot Entry'!M344, "")</f>
        <v/>
      </c>
      <c r="D340" s="9" t="str">
        <f>IF('Ballot Entry'!N344&lt;&gt;9999,'Ballot Entry'!N344, "")</f>
        <v/>
      </c>
      <c r="E340" s="9" t="str">
        <f>IF('Ballot Entry'!$M344&lt;&gt;9999,'Ballot Entry'!O344,"")</f>
        <v/>
      </c>
      <c r="F340" s="9" t="e">
        <f t="shared" si="175"/>
        <v>#N/A</v>
      </c>
      <c r="G340" s="9" t="e">
        <f t="shared" si="252"/>
        <v>#VALUE!</v>
      </c>
      <c r="H340" s="396" t="e">
        <f>'Captains Info'!N399</f>
        <v>#N/A</v>
      </c>
      <c r="I340" s="396" t="e">
        <f t="shared" si="253"/>
        <v>#N/A</v>
      </c>
      <c r="J340" s="396" t="e">
        <f>'Captains Info'!O399</f>
        <v>#N/A</v>
      </c>
      <c r="K340" s="396" t="e">
        <f t="shared" si="254"/>
        <v>#N/A</v>
      </c>
    </row>
    <row r="341" spans="1:17" x14ac:dyDescent="0.2">
      <c r="A341" s="395">
        <v>4</v>
      </c>
      <c r="B341" s="395">
        <v>1</v>
      </c>
      <c r="C341" s="9" t="str">
        <f>IF('Ballot Entry'!M345&lt;&gt;9999,'Ballot Entry'!M345, "")</f>
        <v/>
      </c>
      <c r="D341" s="9" t="str">
        <f>IF('Ballot Entry'!N345&lt;&gt;9999,'Ballot Entry'!N345, "")</f>
        <v/>
      </c>
      <c r="E341" s="9" t="str">
        <f>IF('Ballot Entry'!$M345&lt;&gt;9999,'Ballot Entry'!O345,"")</f>
        <v/>
      </c>
      <c r="F341" s="9" t="e">
        <f t="shared" si="175"/>
        <v>#N/A</v>
      </c>
      <c r="G341" s="9" t="e">
        <f t="shared" si="252"/>
        <v>#VALUE!</v>
      </c>
      <c r="H341" s="396" t="e">
        <f>'Captains Info'!N402</f>
        <v>#N/A</v>
      </c>
      <c r="I341" s="396" t="e">
        <f t="shared" si="253"/>
        <v>#N/A</v>
      </c>
      <c r="J341" s="396" t="e">
        <f>'Captains Info'!O402</f>
        <v>#N/A</v>
      </c>
      <c r="K341" s="396" t="e">
        <f t="shared" si="254"/>
        <v>#N/A</v>
      </c>
      <c r="Q341" s="396"/>
    </row>
    <row r="342" spans="1:17" x14ac:dyDescent="0.2">
      <c r="A342" s="395">
        <v>4</v>
      </c>
      <c r="B342" s="395">
        <v>1</v>
      </c>
      <c r="C342" s="9" t="str">
        <f>IF('Ballot Entry'!M346&lt;&gt;9999,'Ballot Entry'!M346, "")</f>
        <v/>
      </c>
      <c r="D342" s="9" t="str">
        <f>IF('Ballot Entry'!N346&lt;&gt;9999,'Ballot Entry'!N346, "")</f>
        <v/>
      </c>
      <c r="E342" s="9" t="str">
        <f>IF('Ballot Entry'!$M346&lt;&gt;9999,'Ballot Entry'!O346,"")</f>
        <v/>
      </c>
      <c r="F342" s="9" t="e">
        <f t="shared" si="175"/>
        <v>#N/A</v>
      </c>
      <c r="G342" s="9" t="e">
        <f t="shared" si="252"/>
        <v>#VALUE!</v>
      </c>
      <c r="H342" s="396" t="e">
        <f>'Captains Info'!N405</f>
        <v>#N/A</v>
      </c>
      <c r="I342" s="396" t="e">
        <f t="shared" si="253"/>
        <v>#N/A</v>
      </c>
      <c r="J342" s="396" t="e">
        <f>'Captains Info'!O405</f>
        <v>#N/A</v>
      </c>
      <c r="K342" s="396" t="e">
        <f t="shared" si="254"/>
        <v>#N/A</v>
      </c>
    </row>
    <row r="343" spans="1:17" x14ac:dyDescent="0.2">
      <c r="A343" s="395">
        <v>4</v>
      </c>
      <c r="B343" s="395">
        <v>1</v>
      </c>
      <c r="C343" s="9" t="str">
        <f>IF('Ballot Entry'!M347&lt;&gt;9999,'Ballot Entry'!M347, "")</f>
        <v/>
      </c>
      <c r="D343" s="9" t="str">
        <f>IF('Ballot Entry'!N347&lt;&gt;9999,'Ballot Entry'!N347, "")</f>
        <v/>
      </c>
      <c r="E343" s="9" t="str">
        <f>IF('Ballot Entry'!$M347&lt;&gt;9999,'Ballot Entry'!O347,"")</f>
        <v/>
      </c>
      <c r="F343" s="9" t="e">
        <f t="shared" si="175"/>
        <v>#N/A</v>
      </c>
      <c r="G343" s="9" t="e">
        <f t="shared" si="252"/>
        <v>#VALUE!</v>
      </c>
      <c r="H343" s="396" t="e">
        <f>'Captains Info'!N408</f>
        <v>#N/A</v>
      </c>
      <c r="I343" s="396" t="e">
        <f t="shared" si="253"/>
        <v>#N/A</v>
      </c>
      <c r="J343" s="396" t="e">
        <f>'Captains Info'!O408</f>
        <v>#N/A</v>
      </c>
      <c r="K343" s="396" t="e">
        <f t="shared" si="254"/>
        <v>#N/A</v>
      </c>
    </row>
    <row r="344" spans="1:17" x14ac:dyDescent="0.2">
      <c r="A344" s="395">
        <v>4</v>
      </c>
      <c r="B344" s="395">
        <v>1</v>
      </c>
      <c r="C344" s="9" t="str">
        <f>IF('Ballot Entry'!M348&lt;&gt;9999,'Ballot Entry'!M348, "")</f>
        <v/>
      </c>
      <c r="D344" s="9" t="str">
        <f>IF('Ballot Entry'!N348&lt;&gt;9999,'Ballot Entry'!N348, "")</f>
        <v/>
      </c>
      <c r="E344" s="9" t="str">
        <f>IF('Ballot Entry'!$M348&lt;&gt;9999,'Ballot Entry'!O348,"")</f>
        <v/>
      </c>
      <c r="F344" s="9" t="e">
        <f t="shared" si="175"/>
        <v>#N/A</v>
      </c>
      <c r="G344" s="9" t="e">
        <f t="shared" si="252"/>
        <v>#VALUE!</v>
      </c>
      <c r="H344" s="396" t="e">
        <f>'Captains Info'!N411</f>
        <v>#N/A</v>
      </c>
      <c r="I344" s="396" t="e">
        <f t="shared" si="253"/>
        <v>#N/A</v>
      </c>
      <c r="J344" s="396" t="e">
        <f>'Captains Info'!O411</f>
        <v>#N/A</v>
      </c>
      <c r="K344" s="396" t="e">
        <f t="shared" si="254"/>
        <v>#N/A</v>
      </c>
      <c r="Q344" s="396"/>
    </row>
    <row r="345" spans="1:17" x14ac:dyDescent="0.2">
      <c r="A345" s="395">
        <v>4</v>
      </c>
      <c r="B345" s="395">
        <v>1</v>
      </c>
      <c r="C345" s="9" t="str">
        <f>IF('Ballot Entry'!M349&lt;&gt;9999,'Ballot Entry'!M349, "")</f>
        <v/>
      </c>
      <c r="D345" s="9" t="str">
        <f>IF('Ballot Entry'!N349&lt;&gt;9999,'Ballot Entry'!N349, "")</f>
        <v/>
      </c>
      <c r="E345" s="9" t="str">
        <f>IF('Ballot Entry'!$M349&lt;&gt;9999,'Ballot Entry'!O349,"")</f>
        <v/>
      </c>
      <c r="F345" s="9" t="e">
        <f t="shared" si="175"/>
        <v>#N/A</v>
      </c>
      <c r="G345" s="9" t="e">
        <f t="shared" si="252"/>
        <v>#VALUE!</v>
      </c>
      <c r="H345" s="396" t="e">
        <f>'Captains Info'!N414</f>
        <v>#N/A</v>
      </c>
      <c r="I345" s="396" t="e">
        <f t="shared" si="253"/>
        <v>#N/A</v>
      </c>
      <c r="J345" s="396" t="e">
        <f>'Captains Info'!O414</f>
        <v>#N/A</v>
      </c>
      <c r="K345" s="396" t="e">
        <f t="shared" si="254"/>
        <v>#N/A</v>
      </c>
    </row>
    <row r="346" spans="1:17" x14ac:dyDescent="0.2">
      <c r="A346" s="395">
        <v>4</v>
      </c>
      <c r="B346" s="395">
        <v>1</v>
      </c>
      <c r="C346" s="9" t="str">
        <f>IF('Ballot Entry'!M350&lt;&gt;9999,'Ballot Entry'!M350, "")</f>
        <v/>
      </c>
      <c r="D346" s="9" t="str">
        <f>IF('Ballot Entry'!N350&lt;&gt;9999,'Ballot Entry'!N350, "")</f>
        <v/>
      </c>
      <c r="E346" s="9" t="str">
        <f>IF('Ballot Entry'!$M350&lt;&gt;9999,'Ballot Entry'!O350,"")</f>
        <v/>
      </c>
      <c r="F346" s="9" t="e">
        <f t="shared" si="175"/>
        <v>#N/A</v>
      </c>
      <c r="G346" s="9" t="e">
        <f t="shared" si="252"/>
        <v>#VALUE!</v>
      </c>
      <c r="H346" s="396" t="e">
        <f>'Captains Info'!N417</f>
        <v>#N/A</v>
      </c>
      <c r="I346" s="396" t="e">
        <f t="shared" si="253"/>
        <v>#N/A</v>
      </c>
      <c r="J346" s="396" t="e">
        <f>'Captains Info'!O417</f>
        <v>#N/A</v>
      </c>
      <c r="K346" s="396" t="e">
        <f t="shared" si="254"/>
        <v>#N/A</v>
      </c>
    </row>
    <row r="347" spans="1:17" x14ac:dyDescent="0.2">
      <c r="A347" s="395">
        <v>4</v>
      </c>
      <c r="B347" s="395">
        <v>1</v>
      </c>
      <c r="C347" s="9" t="str">
        <f>IF('Ballot Entry'!M351&lt;&gt;9999,'Ballot Entry'!M351, "")</f>
        <v/>
      </c>
      <c r="D347" s="9" t="str">
        <f>IF('Ballot Entry'!N351&lt;&gt;9999,'Ballot Entry'!N351, "")</f>
        <v/>
      </c>
      <c r="E347" s="9" t="str">
        <f>IF('Ballot Entry'!$M351&lt;&gt;9999,'Ballot Entry'!O351,"")</f>
        <v/>
      </c>
      <c r="F347" s="9" t="e">
        <f t="shared" si="175"/>
        <v>#N/A</v>
      </c>
      <c r="G347" s="9" t="e">
        <f t="shared" si="252"/>
        <v>#VALUE!</v>
      </c>
      <c r="H347" s="396" t="e">
        <f>'Captains Info'!N420</f>
        <v>#N/A</v>
      </c>
      <c r="I347" s="396" t="e">
        <f t="shared" si="253"/>
        <v>#N/A</v>
      </c>
      <c r="J347" s="396" t="e">
        <f>'Captains Info'!O420</f>
        <v>#N/A</v>
      </c>
      <c r="K347" s="396" t="e">
        <f t="shared" si="254"/>
        <v>#N/A</v>
      </c>
      <c r="Q347" s="396"/>
    </row>
    <row r="348" spans="1:17" x14ac:dyDescent="0.2">
      <c r="A348" s="395">
        <v>4</v>
      </c>
      <c r="B348" s="395">
        <v>1</v>
      </c>
      <c r="C348" s="9" t="str">
        <f>IF('Ballot Entry'!M352&lt;&gt;9999,'Ballot Entry'!M352, "")</f>
        <v/>
      </c>
      <c r="D348" s="9" t="str">
        <f>IF('Ballot Entry'!N352&lt;&gt;9999,'Ballot Entry'!N352, "")</f>
        <v/>
      </c>
      <c r="E348" s="9" t="str">
        <f>IF('Ballot Entry'!$M352&lt;&gt;9999,'Ballot Entry'!O352,"")</f>
        <v/>
      </c>
      <c r="F348" s="9" t="e">
        <f t="shared" si="175"/>
        <v>#N/A</v>
      </c>
      <c r="G348" s="9" t="e">
        <f t="shared" si="252"/>
        <v>#VALUE!</v>
      </c>
      <c r="H348" s="396" t="e">
        <f>'Captains Info'!N423</f>
        <v>#N/A</v>
      </c>
      <c r="I348" s="396" t="e">
        <f t="shared" si="253"/>
        <v>#N/A</v>
      </c>
      <c r="J348" s="396" t="e">
        <f>'Captains Info'!O423</f>
        <v>#N/A</v>
      </c>
      <c r="K348" s="396" t="e">
        <f t="shared" si="254"/>
        <v>#N/A</v>
      </c>
    </row>
    <row r="349" spans="1:17" x14ac:dyDescent="0.2">
      <c r="A349" s="395">
        <v>4</v>
      </c>
      <c r="B349" s="395">
        <v>1</v>
      </c>
      <c r="C349" s="9" t="str">
        <f>IF('Ballot Entry'!M353&lt;&gt;9999,'Ballot Entry'!M353, "")</f>
        <v/>
      </c>
      <c r="D349" s="9" t="str">
        <f>IF('Ballot Entry'!N353&lt;&gt;9999,'Ballot Entry'!N353, "")</f>
        <v/>
      </c>
      <c r="E349" s="9" t="str">
        <f>IF('Ballot Entry'!$M353&lt;&gt;9999,'Ballot Entry'!O353,"")</f>
        <v/>
      </c>
      <c r="F349" s="9" t="e">
        <f t="shared" si="175"/>
        <v>#N/A</v>
      </c>
      <c r="G349" s="9" t="e">
        <f t="shared" si="252"/>
        <v>#VALUE!</v>
      </c>
      <c r="H349" s="396" t="e">
        <f>'Captains Info'!N426</f>
        <v>#N/A</v>
      </c>
      <c r="I349" s="396" t="e">
        <f t="shared" si="253"/>
        <v>#N/A</v>
      </c>
      <c r="J349" s="396" t="e">
        <f>'Captains Info'!O426</f>
        <v>#N/A</v>
      </c>
      <c r="K349" s="396" t="e">
        <f t="shared" si="254"/>
        <v>#N/A</v>
      </c>
    </row>
    <row r="350" spans="1:17" x14ac:dyDescent="0.2">
      <c r="A350" s="395">
        <v>4</v>
      </c>
      <c r="B350" s="395">
        <v>1</v>
      </c>
      <c r="C350" s="9" t="str">
        <f>IF('Ballot Entry'!M354&lt;&gt;9999,'Ballot Entry'!M354, "")</f>
        <v/>
      </c>
      <c r="D350" s="9" t="str">
        <f>IF('Ballot Entry'!N354&lt;&gt;9999,'Ballot Entry'!N354, "")</f>
        <v/>
      </c>
      <c r="E350" s="9" t="str">
        <f>IF('Ballot Entry'!$M354&lt;&gt;9999,'Ballot Entry'!O354,"")</f>
        <v/>
      </c>
      <c r="F350" s="9" t="e">
        <f t="shared" si="175"/>
        <v>#N/A</v>
      </c>
      <c r="G350" s="9" t="e">
        <f t="shared" si="252"/>
        <v>#VALUE!</v>
      </c>
      <c r="H350" s="396" t="e">
        <f>'Captains Info'!N429</f>
        <v>#N/A</v>
      </c>
      <c r="I350" s="396" t="e">
        <f t="shared" si="253"/>
        <v>#N/A</v>
      </c>
      <c r="J350" s="396" t="e">
        <f>'Captains Info'!O429</f>
        <v>#N/A</v>
      </c>
      <c r="K350" s="396" t="e">
        <f t="shared" si="254"/>
        <v>#N/A</v>
      </c>
      <c r="Q350" s="396"/>
    </row>
    <row r="351" spans="1:17" x14ac:dyDescent="0.2">
      <c r="A351" s="395">
        <v>4</v>
      </c>
      <c r="B351" s="395">
        <v>1</v>
      </c>
      <c r="C351" s="9" t="str">
        <f>IF('Ballot Entry'!M355&lt;&gt;9999,'Ballot Entry'!M355, "")</f>
        <v/>
      </c>
      <c r="D351" s="9" t="str">
        <f>IF('Ballot Entry'!N355&lt;&gt;9999,'Ballot Entry'!N355, "")</f>
        <v/>
      </c>
      <c r="E351" s="9" t="str">
        <f>IF('Ballot Entry'!$M355&lt;&gt;9999,'Ballot Entry'!O355,"")</f>
        <v/>
      </c>
      <c r="F351" s="9" t="e">
        <f t="shared" si="175"/>
        <v>#N/A</v>
      </c>
      <c r="G351" s="9" t="e">
        <f t="shared" si="252"/>
        <v>#VALUE!</v>
      </c>
      <c r="H351" s="396" t="e">
        <f>'Captains Info'!N432</f>
        <v>#N/A</v>
      </c>
      <c r="I351" s="396" t="e">
        <f t="shared" si="253"/>
        <v>#N/A</v>
      </c>
      <c r="J351" s="396" t="e">
        <f>'Captains Info'!O432</f>
        <v>#N/A</v>
      </c>
      <c r="K351" s="396" t="e">
        <f t="shared" si="254"/>
        <v>#N/A</v>
      </c>
    </row>
    <row r="352" spans="1:17" x14ac:dyDescent="0.2">
      <c r="A352" s="395">
        <v>4</v>
      </c>
      <c r="B352" s="395">
        <v>2</v>
      </c>
      <c r="C352" s="9">
        <f>IF('Ballot Entry'!M321&lt;&gt;9999,'Ballot Entry'!M321, "")</f>
        <v>1506</v>
      </c>
      <c r="D352" s="9">
        <f>IF('Ballot Entry'!N321&lt;&gt;9999,'Ballot Entry'!N321, "")</f>
        <v>1001</v>
      </c>
      <c r="E352" s="9">
        <f>IF('Ballot Entry'!$M321&lt;&gt;9999,'Ballot Entry'!P321,"")</f>
        <v>1</v>
      </c>
      <c r="F352" s="9" t="str">
        <f t="shared" si="175"/>
        <v>P</v>
      </c>
      <c r="G352" s="9">
        <f t="shared" si="252"/>
        <v>1</v>
      </c>
      <c r="H352" s="395" t="e">
        <f>H318</f>
        <v>#N/A</v>
      </c>
      <c r="I352" s="395" t="e">
        <f t="shared" ref="I352:K352" si="255">I318</f>
        <v>#N/A</v>
      </c>
      <c r="J352" s="395" t="e">
        <f t="shared" si="255"/>
        <v>#N/A</v>
      </c>
      <c r="K352" s="395" t="e">
        <f t="shared" si="255"/>
        <v>#N/A</v>
      </c>
    </row>
    <row r="353" spans="1:17" x14ac:dyDescent="0.2">
      <c r="A353" s="395">
        <v>4</v>
      </c>
      <c r="B353" s="395">
        <v>2</v>
      </c>
      <c r="C353" s="9">
        <f>IF('Ballot Entry'!M322&lt;&gt;9999,'Ballot Entry'!M322, "")</f>
        <v>1410</v>
      </c>
      <c r="D353" s="9">
        <f>IF('Ballot Entry'!N322&lt;&gt;9999,'Ballot Entry'!N322, "")</f>
        <v>1489</v>
      </c>
      <c r="E353" s="9">
        <f>IF('Ballot Entry'!$M322&lt;&gt;9999,'Ballot Entry'!P322,"")</f>
        <v>2</v>
      </c>
      <c r="F353" s="9" t="str">
        <f t="shared" si="175"/>
        <v>P</v>
      </c>
      <c r="G353" s="9">
        <f t="shared" si="252"/>
        <v>2</v>
      </c>
      <c r="H353" s="395" t="e">
        <f t="shared" ref="H353:K353" si="256">H319</f>
        <v>#N/A</v>
      </c>
      <c r="I353" s="395" t="e">
        <f t="shared" si="256"/>
        <v>#N/A</v>
      </c>
      <c r="J353" s="395" t="e">
        <f t="shared" si="256"/>
        <v>#N/A</v>
      </c>
      <c r="K353" s="395" t="e">
        <f t="shared" si="256"/>
        <v>#N/A</v>
      </c>
      <c r="Q353" s="396"/>
    </row>
    <row r="354" spans="1:17" x14ac:dyDescent="0.2">
      <c r="A354" s="395">
        <v>4</v>
      </c>
      <c r="B354" s="395">
        <v>2</v>
      </c>
      <c r="C354" s="9">
        <f>IF('Ballot Entry'!M323&lt;&gt;9999,'Ballot Entry'!M323, "")</f>
        <v>1577</v>
      </c>
      <c r="D354" s="9">
        <f>IF('Ballot Entry'!N323&lt;&gt;9999,'Ballot Entry'!N323, "")</f>
        <v>1517</v>
      </c>
      <c r="E354" s="9">
        <f>IF('Ballot Entry'!$M323&lt;&gt;9999,'Ballot Entry'!P323,"")</f>
        <v>4</v>
      </c>
      <c r="F354" s="9" t="str">
        <f t="shared" si="175"/>
        <v>P</v>
      </c>
      <c r="G354" s="9">
        <f t="shared" si="252"/>
        <v>4</v>
      </c>
      <c r="H354" s="395" t="e">
        <f t="shared" ref="H354:K354" si="257">H320</f>
        <v>#N/A</v>
      </c>
      <c r="I354" s="395" t="e">
        <f t="shared" si="257"/>
        <v>#N/A</v>
      </c>
      <c r="J354" s="395" t="e">
        <f t="shared" si="257"/>
        <v>#N/A</v>
      </c>
      <c r="K354" s="395" t="e">
        <f t="shared" si="257"/>
        <v>#N/A</v>
      </c>
    </row>
    <row r="355" spans="1:17" x14ac:dyDescent="0.2">
      <c r="A355" s="395">
        <v>4</v>
      </c>
      <c r="B355" s="395">
        <v>2</v>
      </c>
      <c r="C355" s="9">
        <f>IF('Ballot Entry'!M324&lt;&gt;9999,'Ballot Entry'!M324, "")</f>
        <v>1029</v>
      </c>
      <c r="D355" s="9">
        <f>IF('Ballot Entry'!N324&lt;&gt;9999,'Ballot Entry'!N324, "")</f>
        <v>1616</v>
      </c>
      <c r="E355" s="9">
        <f>IF('Ballot Entry'!$M324&lt;&gt;9999,'Ballot Entry'!P324,"")</f>
        <v>-3</v>
      </c>
      <c r="F355" s="9" t="str">
        <f t="shared" si="175"/>
        <v>D</v>
      </c>
      <c r="G355" s="9">
        <f t="shared" si="252"/>
        <v>3</v>
      </c>
      <c r="H355" s="395" t="e">
        <f t="shared" ref="H355:K355" si="258">H321</f>
        <v>#N/A</v>
      </c>
      <c r="I355" s="395" t="e">
        <f t="shared" si="258"/>
        <v>#N/A</v>
      </c>
      <c r="J355" s="395" t="e">
        <f t="shared" si="258"/>
        <v>#N/A</v>
      </c>
      <c r="K355" s="395" t="e">
        <f t="shared" si="258"/>
        <v>#N/A</v>
      </c>
    </row>
    <row r="356" spans="1:17" x14ac:dyDescent="0.2">
      <c r="A356" s="395">
        <v>4</v>
      </c>
      <c r="B356" s="395">
        <v>2</v>
      </c>
      <c r="C356" s="9">
        <f>IF('Ballot Entry'!M325&lt;&gt;9999,'Ballot Entry'!M325, "")</f>
        <v>1051</v>
      </c>
      <c r="D356" s="9">
        <f>IF('Ballot Entry'!N325&lt;&gt;9999,'Ballot Entry'!N325, "")</f>
        <v>1217</v>
      </c>
      <c r="E356" s="9">
        <f>IF('Ballot Entry'!$M325&lt;&gt;9999,'Ballot Entry'!P325,"")</f>
        <v>-2</v>
      </c>
      <c r="F356" s="9" t="str">
        <f t="shared" ref="F356:F406" si="259">IF(E356="",NA(),IF(E356&gt;0, "P", IF(E356&lt;0,"D", "T")))</f>
        <v>D</v>
      </c>
      <c r="G356" s="9">
        <f t="shared" si="252"/>
        <v>2</v>
      </c>
      <c r="H356" s="395" t="e">
        <f t="shared" ref="H356:K356" si="260">H322</f>
        <v>#N/A</v>
      </c>
      <c r="I356" s="395" t="e">
        <f t="shared" si="260"/>
        <v>#N/A</v>
      </c>
      <c r="J356" s="395" t="e">
        <f t="shared" si="260"/>
        <v>#N/A</v>
      </c>
      <c r="K356" s="395" t="e">
        <f t="shared" si="260"/>
        <v>#N/A</v>
      </c>
      <c r="Q356" s="396"/>
    </row>
    <row r="357" spans="1:17" x14ac:dyDescent="0.2">
      <c r="A357" s="395">
        <v>4</v>
      </c>
      <c r="B357" s="395">
        <v>2</v>
      </c>
      <c r="C357" s="9">
        <f>IF('Ballot Entry'!M326&lt;&gt;9999,'Ballot Entry'!M326, "")</f>
        <v>1492</v>
      </c>
      <c r="D357" s="9">
        <f>IF('Ballot Entry'!N326&lt;&gt;9999,'Ballot Entry'!N326, "")</f>
        <v>1258</v>
      </c>
      <c r="E357" s="9">
        <f>IF('Ballot Entry'!$M326&lt;&gt;9999,'Ballot Entry'!P326,"")</f>
        <v>4</v>
      </c>
      <c r="F357" s="9" t="str">
        <f t="shared" si="259"/>
        <v>P</v>
      </c>
      <c r="G357" s="9">
        <f t="shared" si="252"/>
        <v>4</v>
      </c>
      <c r="H357" s="395" t="e">
        <f t="shared" ref="H357:K357" si="261">H323</f>
        <v>#N/A</v>
      </c>
      <c r="I357" s="395" t="e">
        <f t="shared" si="261"/>
        <v>#N/A</v>
      </c>
      <c r="J357" s="395" t="e">
        <f t="shared" si="261"/>
        <v>#N/A</v>
      </c>
      <c r="K357" s="395" t="e">
        <f t="shared" si="261"/>
        <v>#N/A</v>
      </c>
    </row>
    <row r="358" spans="1:17" x14ac:dyDescent="0.2">
      <c r="A358" s="395">
        <v>4</v>
      </c>
      <c r="B358" s="395">
        <v>2</v>
      </c>
      <c r="C358" s="9">
        <f>IF('Ballot Entry'!M327&lt;&gt;9999,'Ballot Entry'!M327, "")</f>
        <v>1078</v>
      </c>
      <c r="D358" s="9">
        <f>IF('Ballot Entry'!N327&lt;&gt;9999,'Ballot Entry'!N327, "")</f>
        <v>1262</v>
      </c>
      <c r="E358" s="9">
        <f>IF('Ballot Entry'!$M327&lt;&gt;9999,'Ballot Entry'!P327,"")</f>
        <v>2</v>
      </c>
      <c r="F358" s="9" t="str">
        <f t="shared" si="259"/>
        <v>P</v>
      </c>
      <c r="G358" s="9">
        <f t="shared" si="252"/>
        <v>2</v>
      </c>
      <c r="H358" s="395" t="e">
        <f t="shared" ref="H358:K358" si="262">H324</f>
        <v>#N/A</v>
      </c>
      <c r="I358" s="395" t="e">
        <f t="shared" si="262"/>
        <v>#N/A</v>
      </c>
      <c r="J358" s="395" t="e">
        <f t="shared" si="262"/>
        <v>#N/A</v>
      </c>
      <c r="K358" s="395" t="e">
        <f t="shared" si="262"/>
        <v>#N/A</v>
      </c>
    </row>
    <row r="359" spans="1:17" x14ac:dyDescent="0.2">
      <c r="A359" s="395">
        <v>4</v>
      </c>
      <c r="B359" s="395">
        <v>2</v>
      </c>
      <c r="C359" s="9">
        <f>IF('Ballot Entry'!M328&lt;&gt;9999,'Ballot Entry'!M328, "")</f>
        <v>1224</v>
      </c>
      <c r="D359" s="9">
        <f>IF('Ballot Entry'!N328&lt;&gt;9999,'Ballot Entry'!N328, "")</f>
        <v>1693</v>
      </c>
      <c r="E359" s="9">
        <f>IF('Ballot Entry'!$M328&lt;&gt;9999,'Ballot Entry'!P328,"")</f>
        <v>6</v>
      </c>
      <c r="F359" s="9" t="str">
        <f t="shared" si="259"/>
        <v>P</v>
      </c>
      <c r="G359" s="9">
        <f t="shared" si="252"/>
        <v>6</v>
      </c>
      <c r="H359" s="395" t="e">
        <f t="shared" ref="H359:K359" si="263">H325</f>
        <v>#N/A</v>
      </c>
      <c r="I359" s="395" t="e">
        <f t="shared" si="263"/>
        <v>#N/A</v>
      </c>
      <c r="J359" s="395" t="e">
        <f t="shared" si="263"/>
        <v>#N/A</v>
      </c>
      <c r="K359" s="395" t="e">
        <f t="shared" si="263"/>
        <v>#N/A</v>
      </c>
    </row>
    <row r="360" spans="1:17" x14ac:dyDescent="0.2">
      <c r="A360" s="395">
        <v>4</v>
      </c>
      <c r="B360" s="395">
        <v>2</v>
      </c>
      <c r="C360" s="9">
        <f>IF('Ballot Entry'!M329&lt;&gt;9999,'Ballot Entry'!M329, "")</f>
        <v>1557</v>
      </c>
      <c r="D360" s="9">
        <f>IF('Ballot Entry'!N329&lt;&gt;9999,'Ballot Entry'!N329, "")</f>
        <v>1268</v>
      </c>
      <c r="E360" s="9">
        <f>IF('Ballot Entry'!$M329&lt;&gt;9999,'Ballot Entry'!P329,"")</f>
        <v>-16</v>
      </c>
      <c r="F360" s="9" t="str">
        <f t="shared" si="259"/>
        <v>D</v>
      </c>
      <c r="G360" s="9">
        <f t="shared" si="252"/>
        <v>16</v>
      </c>
      <c r="H360" s="395" t="e">
        <f t="shared" ref="H360:K360" si="264">H326</f>
        <v>#N/A</v>
      </c>
      <c r="I360" s="395" t="e">
        <f t="shared" si="264"/>
        <v>#N/A</v>
      </c>
      <c r="J360" s="395" t="e">
        <f t="shared" si="264"/>
        <v>#N/A</v>
      </c>
      <c r="K360" s="395" t="e">
        <f t="shared" si="264"/>
        <v>#N/A</v>
      </c>
    </row>
    <row r="361" spans="1:17" x14ac:dyDescent="0.2">
      <c r="A361" s="395">
        <v>4</v>
      </c>
      <c r="B361" s="395">
        <v>2</v>
      </c>
      <c r="C361" s="9" t="str">
        <f>IF('Ballot Entry'!M330&lt;&gt;9999,'Ballot Entry'!M330, "")</f>
        <v/>
      </c>
      <c r="D361" s="9" t="str">
        <f>IF('Ballot Entry'!N330&lt;&gt;9999,'Ballot Entry'!N330, "")</f>
        <v/>
      </c>
      <c r="E361" s="9" t="str">
        <f>IF('Ballot Entry'!$M330&lt;&gt;9999,'Ballot Entry'!P330,"")</f>
        <v/>
      </c>
      <c r="F361" s="9" t="e">
        <f t="shared" si="259"/>
        <v>#N/A</v>
      </c>
      <c r="G361" s="9" t="e">
        <f t="shared" si="252"/>
        <v>#VALUE!</v>
      </c>
      <c r="H361" s="395" t="e">
        <f t="shared" ref="H361:K361" si="265">H327</f>
        <v>#N/A</v>
      </c>
      <c r="I361" s="395" t="e">
        <f t="shared" si="265"/>
        <v>#N/A</v>
      </c>
      <c r="J361" s="395" t="e">
        <f t="shared" si="265"/>
        <v>#N/A</v>
      </c>
      <c r="K361" s="395" t="e">
        <f t="shared" si="265"/>
        <v>#N/A</v>
      </c>
    </row>
    <row r="362" spans="1:17" x14ac:dyDescent="0.2">
      <c r="A362" s="395">
        <v>4</v>
      </c>
      <c r="B362" s="395">
        <v>2</v>
      </c>
      <c r="C362" s="9" t="str">
        <f>IF('Ballot Entry'!M331&lt;&gt;9999,'Ballot Entry'!M331, "")</f>
        <v/>
      </c>
      <c r="D362" s="9" t="str">
        <f>IF('Ballot Entry'!N331&lt;&gt;9999,'Ballot Entry'!N331, "")</f>
        <v/>
      </c>
      <c r="E362" s="9" t="str">
        <f>IF('Ballot Entry'!$M331&lt;&gt;9999,'Ballot Entry'!P331,"")</f>
        <v/>
      </c>
      <c r="F362" s="9" t="e">
        <f t="shared" si="259"/>
        <v>#N/A</v>
      </c>
      <c r="G362" s="9" t="e">
        <f t="shared" si="252"/>
        <v>#VALUE!</v>
      </c>
      <c r="H362" s="395" t="e">
        <f t="shared" ref="H362:K362" si="266">H328</f>
        <v>#N/A</v>
      </c>
      <c r="I362" s="395" t="e">
        <f t="shared" si="266"/>
        <v>#N/A</v>
      </c>
      <c r="J362" s="395" t="e">
        <f t="shared" si="266"/>
        <v>#N/A</v>
      </c>
      <c r="K362" s="395" t="e">
        <f t="shared" si="266"/>
        <v>#N/A</v>
      </c>
    </row>
    <row r="363" spans="1:17" x14ac:dyDescent="0.2">
      <c r="A363" s="395">
        <v>4</v>
      </c>
      <c r="B363" s="395">
        <v>2</v>
      </c>
      <c r="C363" s="9" t="str">
        <f>IF('Ballot Entry'!M332&lt;&gt;9999,'Ballot Entry'!M332, "")</f>
        <v/>
      </c>
      <c r="D363" s="9" t="str">
        <f>IF('Ballot Entry'!N332&lt;&gt;9999,'Ballot Entry'!N332, "")</f>
        <v/>
      </c>
      <c r="E363" s="9" t="str">
        <f>IF('Ballot Entry'!$M332&lt;&gt;9999,'Ballot Entry'!P332,"")</f>
        <v/>
      </c>
      <c r="F363" s="9" t="e">
        <f t="shared" si="259"/>
        <v>#N/A</v>
      </c>
      <c r="G363" s="9" t="e">
        <f t="shared" si="252"/>
        <v>#VALUE!</v>
      </c>
      <c r="H363" s="395" t="e">
        <f t="shared" ref="H363:K363" si="267">H329</f>
        <v>#N/A</v>
      </c>
      <c r="I363" s="395" t="e">
        <f t="shared" si="267"/>
        <v>#N/A</v>
      </c>
      <c r="J363" s="395" t="e">
        <f t="shared" si="267"/>
        <v>#N/A</v>
      </c>
      <c r="K363" s="395" t="e">
        <f t="shared" si="267"/>
        <v>#N/A</v>
      </c>
    </row>
    <row r="364" spans="1:17" x14ac:dyDescent="0.2">
      <c r="A364" s="395">
        <v>4</v>
      </c>
      <c r="B364" s="395">
        <v>2</v>
      </c>
      <c r="C364" s="9" t="str">
        <f>IF('Ballot Entry'!M333&lt;&gt;9999,'Ballot Entry'!M333, "")</f>
        <v/>
      </c>
      <c r="D364" s="9" t="str">
        <f>IF('Ballot Entry'!N333&lt;&gt;9999,'Ballot Entry'!N333, "")</f>
        <v/>
      </c>
      <c r="E364" s="9" t="str">
        <f>IF('Ballot Entry'!$M333&lt;&gt;9999,'Ballot Entry'!P333,"")</f>
        <v/>
      </c>
      <c r="F364" s="9" t="e">
        <f t="shared" si="259"/>
        <v>#N/A</v>
      </c>
      <c r="G364" s="9" t="e">
        <f t="shared" si="252"/>
        <v>#VALUE!</v>
      </c>
      <c r="H364" s="395" t="e">
        <f t="shared" ref="H364:K364" si="268">H330</f>
        <v>#N/A</v>
      </c>
      <c r="I364" s="395" t="e">
        <f t="shared" si="268"/>
        <v>#N/A</v>
      </c>
      <c r="J364" s="395" t="e">
        <f t="shared" si="268"/>
        <v>#N/A</v>
      </c>
      <c r="K364" s="395" t="e">
        <f t="shared" si="268"/>
        <v>#N/A</v>
      </c>
    </row>
    <row r="365" spans="1:17" x14ac:dyDescent="0.2">
      <c r="A365" s="395">
        <v>4</v>
      </c>
      <c r="B365" s="395">
        <v>2</v>
      </c>
      <c r="C365" s="9" t="str">
        <f>IF('Ballot Entry'!M334&lt;&gt;9999,'Ballot Entry'!M334, "")</f>
        <v/>
      </c>
      <c r="D365" s="9" t="str">
        <f>IF('Ballot Entry'!N334&lt;&gt;9999,'Ballot Entry'!N334, "")</f>
        <v/>
      </c>
      <c r="E365" s="9" t="str">
        <f>IF('Ballot Entry'!$M334&lt;&gt;9999,'Ballot Entry'!P334,"")</f>
        <v/>
      </c>
      <c r="F365" s="9" t="e">
        <f t="shared" si="259"/>
        <v>#N/A</v>
      </c>
      <c r="G365" s="9" t="e">
        <f t="shared" si="252"/>
        <v>#VALUE!</v>
      </c>
      <c r="H365" s="395" t="e">
        <f t="shared" ref="H365:K365" si="269">H331</f>
        <v>#N/A</v>
      </c>
      <c r="I365" s="395" t="e">
        <f t="shared" si="269"/>
        <v>#N/A</v>
      </c>
      <c r="J365" s="395" t="e">
        <f t="shared" si="269"/>
        <v>#N/A</v>
      </c>
      <c r="K365" s="395" t="e">
        <f t="shared" si="269"/>
        <v>#N/A</v>
      </c>
    </row>
    <row r="366" spans="1:17" x14ac:dyDescent="0.2">
      <c r="A366" s="395">
        <v>4</v>
      </c>
      <c r="B366" s="395">
        <v>2</v>
      </c>
      <c r="C366" s="9" t="str">
        <f>IF('Ballot Entry'!M335&lt;&gt;9999,'Ballot Entry'!M335, "")</f>
        <v/>
      </c>
      <c r="D366" s="9" t="str">
        <f>IF('Ballot Entry'!N335&lt;&gt;9999,'Ballot Entry'!N335, "")</f>
        <v/>
      </c>
      <c r="E366" s="9" t="str">
        <f>IF('Ballot Entry'!$M335&lt;&gt;9999,'Ballot Entry'!P335,"")</f>
        <v/>
      </c>
      <c r="F366" s="9" t="e">
        <f t="shared" si="259"/>
        <v>#N/A</v>
      </c>
      <c r="G366" s="9" t="e">
        <f t="shared" si="252"/>
        <v>#VALUE!</v>
      </c>
      <c r="H366" s="395" t="e">
        <f t="shared" ref="H366:K366" si="270">H332</f>
        <v>#N/A</v>
      </c>
      <c r="I366" s="395" t="e">
        <f t="shared" si="270"/>
        <v>#N/A</v>
      </c>
      <c r="J366" s="395" t="e">
        <f t="shared" si="270"/>
        <v>#N/A</v>
      </c>
      <c r="K366" s="395" t="e">
        <f t="shared" si="270"/>
        <v>#N/A</v>
      </c>
    </row>
    <row r="367" spans="1:17" x14ac:dyDescent="0.2">
      <c r="A367" s="395">
        <v>4</v>
      </c>
      <c r="B367" s="395">
        <v>2</v>
      </c>
      <c r="C367" s="9" t="str">
        <f>IF('Ballot Entry'!M336&lt;&gt;9999,'Ballot Entry'!M336, "")</f>
        <v/>
      </c>
      <c r="D367" s="9" t="str">
        <f>IF('Ballot Entry'!N336&lt;&gt;9999,'Ballot Entry'!N336, "")</f>
        <v/>
      </c>
      <c r="E367" s="9" t="str">
        <f>IF('Ballot Entry'!$M336&lt;&gt;9999,'Ballot Entry'!P336,"")</f>
        <v/>
      </c>
      <c r="F367" s="9" t="e">
        <f t="shared" si="259"/>
        <v>#N/A</v>
      </c>
      <c r="G367" s="9" t="e">
        <f t="shared" si="252"/>
        <v>#VALUE!</v>
      </c>
      <c r="H367" s="395" t="e">
        <f t="shared" ref="H367:K367" si="271">H333</f>
        <v>#N/A</v>
      </c>
      <c r="I367" s="395" t="e">
        <f t="shared" si="271"/>
        <v>#N/A</v>
      </c>
      <c r="J367" s="395" t="e">
        <f t="shared" si="271"/>
        <v>#N/A</v>
      </c>
      <c r="K367" s="395" t="e">
        <f t="shared" si="271"/>
        <v>#N/A</v>
      </c>
    </row>
    <row r="368" spans="1:17" x14ac:dyDescent="0.2">
      <c r="A368" s="395">
        <v>4</v>
      </c>
      <c r="B368" s="395">
        <v>2</v>
      </c>
      <c r="C368" s="9" t="str">
        <f>IF('Ballot Entry'!M337&lt;&gt;9999,'Ballot Entry'!M337, "")</f>
        <v/>
      </c>
      <c r="D368" s="9" t="str">
        <f>IF('Ballot Entry'!N337&lt;&gt;9999,'Ballot Entry'!N337, "")</f>
        <v/>
      </c>
      <c r="E368" s="9" t="str">
        <f>IF('Ballot Entry'!$M337&lt;&gt;9999,'Ballot Entry'!P337,"")</f>
        <v/>
      </c>
      <c r="F368" s="9" t="e">
        <f t="shared" si="259"/>
        <v>#N/A</v>
      </c>
      <c r="G368" s="9" t="e">
        <f t="shared" si="252"/>
        <v>#VALUE!</v>
      </c>
      <c r="H368" s="395" t="e">
        <f t="shared" ref="H368:K368" si="272">H334</f>
        <v>#N/A</v>
      </c>
      <c r="I368" s="395" t="e">
        <f t="shared" si="272"/>
        <v>#N/A</v>
      </c>
      <c r="J368" s="395" t="e">
        <f t="shared" si="272"/>
        <v>#N/A</v>
      </c>
      <c r="K368" s="395" t="e">
        <f t="shared" si="272"/>
        <v>#N/A</v>
      </c>
    </row>
    <row r="369" spans="1:15" x14ac:dyDescent="0.2">
      <c r="A369" s="395">
        <v>4</v>
      </c>
      <c r="B369" s="395">
        <v>2</v>
      </c>
      <c r="C369" s="9" t="str">
        <f>IF('Ballot Entry'!M338&lt;&gt;9999,'Ballot Entry'!M338, "")</f>
        <v/>
      </c>
      <c r="D369" s="9" t="str">
        <f>IF('Ballot Entry'!N338&lt;&gt;9999,'Ballot Entry'!N338, "")</f>
        <v/>
      </c>
      <c r="E369" s="9" t="str">
        <f>IF('Ballot Entry'!$M338&lt;&gt;9999,'Ballot Entry'!P338,"")</f>
        <v/>
      </c>
      <c r="F369" s="9" t="e">
        <f t="shared" si="259"/>
        <v>#N/A</v>
      </c>
      <c r="G369" s="9" t="e">
        <f t="shared" si="252"/>
        <v>#VALUE!</v>
      </c>
      <c r="H369" s="395" t="e">
        <f t="shared" ref="H369:K369" si="273">H335</f>
        <v>#N/A</v>
      </c>
      <c r="I369" s="395" t="e">
        <f t="shared" si="273"/>
        <v>#N/A</v>
      </c>
      <c r="J369" s="395" t="e">
        <f t="shared" si="273"/>
        <v>#N/A</v>
      </c>
      <c r="K369" s="395" t="e">
        <f t="shared" si="273"/>
        <v>#N/A</v>
      </c>
    </row>
    <row r="370" spans="1:15" x14ac:dyDescent="0.2">
      <c r="A370" s="395">
        <v>4</v>
      </c>
      <c r="B370" s="395">
        <v>2</v>
      </c>
      <c r="C370" s="9" t="str">
        <f>IF('Ballot Entry'!M339&lt;&gt;9999,'Ballot Entry'!M339, "")</f>
        <v/>
      </c>
      <c r="D370" s="9" t="str">
        <f>IF('Ballot Entry'!N339&lt;&gt;9999,'Ballot Entry'!N339, "")</f>
        <v/>
      </c>
      <c r="E370" s="9" t="str">
        <f>IF('Ballot Entry'!$M339&lt;&gt;9999,'Ballot Entry'!P339,"")</f>
        <v/>
      </c>
      <c r="F370" s="9" t="e">
        <f t="shared" si="259"/>
        <v>#N/A</v>
      </c>
      <c r="G370" s="9" t="e">
        <f t="shared" si="252"/>
        <v>#VALUE!</v>
      </c>
      <c r="H370" s="395" t="e">
        <f t="shared" ref="H370:K370" si="274">H336</f>
        <v>#N/A</v>
      </c>
      <c r="I370" s="395" t="e">
        <f t="shared" si="274"/>
        <v>#N/A</v>
      </c>
      <c r="J370" s="395" t="e">
        <f t="shared" si="274"/>
        <v>#N/A</v>
      </c>
      <c r="K370" s="395" t="e">
        <f t="shared" si="274"/>
        <v>#N/A</v>
      </c>
    </row>
    <row r="371" spans="1:15" x14ac:dyDescent="0.2">
      <c r="A371" s="395">
        <v>4</v>
      </c>
      <c r="B371" s="395">
        <v>2</v>
      </c>
      <c r="C371" s="9" t="str">
        <f>IF('Ballot Entry'!M340&lt;&gt;9999,'Ballot Entry'!M340, "")</f>
        <v/>
      </c>
      <c r="D371" s="9" t="str">
        <f>IF('Ballot Entry'!N340&lt;&gt;9999,'Ballot Entry'!N340, "")</f>
        <v/>
      </c>
      <c r="E371" s="9" t="str">
        <f>IF('Ballot Entry'!$M340&lt;&gt;9999,'Ballot Entry'!P340,"")</f>
        <v/>
      </c>
      <c r="F371" s="9" t="e">
        <f t="shared" si="259"/>
        <v>#N/A</v>
      </c>
      <c r="G371" s="9" t="e">
        <f t="shared" si="252"/>
        <v>#VALUE!</v>
      </c>
      <c r="H371" s="395" t="e">
        <f t="shared" ref="H371:K371" si="275">H337</f>
        <v>#N/A</v>
      </c>
      <c r="I371" s="395" t="e">
        <f t="shared" si="275"/>
        <v>#N/A</v>
      </c>
      <c r="J371" s="395" t="e">
        <f t="shared" si="275"/>
        <v>#N/A</v>
      </c>
      <c r="K371" s="395" t="e">
        <f t="shared" si="275"/>
        <v>#N/A</v>
      </c>
    </row>
    <row r="372" spans="1:15" x14ac:dyDescent="0.2">
      <c r="A372" s="395">
        <v>4</v>
      </c>
      <c r="B372" s="395">
        <v>2</v>
      </c>
      <c r="C372" s="9" t="str">
        <f>IF('Ballot Entry'!M341&lt;&gt;9999,'Ballot Entry'!M341, "")</f>
        <v/>
      </c>
      <c r="D372" s="9" t="str">
        <f>IF('Ballot Entry'!N341&lt;&gt;9999,'Ballot Entry'!N341, "")</f>
        <v/>
      </c>
      <c r="E372" s="9" t="str">
        <f>IF('Ballot Entry'!$M341&lt;&gt;9999,'Ballot Entry'!P341,"")</f>
        <v/>
      </c>
      <c r="F372" s="9" t="e">
        <f t="shared" ref="F372:F386" si="276">IF(E372="",NA(),IF(E372&gt;0, "P", IF(E372&lt;0,"D", "T")))</f>
        <v>#N/A</v>
      </c>
      <c r="G372" s="9" t="e">
        <f t="shared" ref="G372:G386" si="277">ABS(E372)</f>
        <v>#VALUE!</v>
      </c>
      <c r="H372" s="395" t="e">
        <f t="shared" ref="H372:K372" si="278">H338</f>
        <v>#N/A</v>
      </c>
      <c r="I372" s="395" t="e">
        <f t="shared" si="278"/>
        <v>#N/A</v>
      </c>
      <c r="J372" s="395" t="e">
        <f t="shared" si="278"/>
        <v>#N/A</v>
      </c>
      <c r="K372" s="395" t="e">
        <f t="shared" si="278"/>
        <v>#N/A</v>
      </c>
    </row>
    <row r="373" spans="1:15" x14ac:dyDescent="0.2">
      <c r="A373" s="395">
        <v>4</v>
      </c>
      <c r="B373" s="395">
        <v>2</v>
      </c>
      <c r="C373" s="9" t="str">
        <f>IF('Ballot Entry'!M342&lt;&gt;9999,'Ballot Entry'!M342, "")</f>
        <v/>
      </c>
      <c r="D373" s="9" t="str">
        <f>IF('Ballot Entry'!N342&lt;&gt;9999,'Ballot Entry'!N342, "")</f>
        <v/>
      </c>
      <c r="E373" s="9" t="str">
        <f>IF('Ballot Entry'!$M342&lt;&gt;9999,'Ballot Entry'!P342,"")</f>
        <v/>
      </c>
      <c r="F373" s="9" t="e">
        <f t="shared" si="276"/>
        <v>#N/A</v>
      </c>
      <c r="G373" s="9" t="e">
        <f t="shared" si="277"/>
        <v>#VALUE!</v>
      </c>
      <c r="H373" s="395" t="e">
        <f t="shared" ref="H373:K373" si="279">H339</f>
        <v>#N/A</v>
      </c>
      <c r="I373" s="395" t="e">
        <f t="shared" si="279"/>
        <v>#N/A</v>
      </c>
      <c r="J373" s="395" t="e">
        <f t="shared" si="279"/>
        <v>#N/A</v>
      </c>
      <c r="K373" s="395" t="e">
        <f t="shared" si="279"/>
        <v>#N/A</v>
      </c>
    </row>
    <row r="374" spans="1:15" x14ac:dyDescent="0.2">
      <c r="A374" s="395">
        <v>4</v>
      </c>
      <c r="B374" s="395">
        <v>2</v>
      </c>
      <c r="C374" s="9" t="str">
        <f>IF('Ballot Entry'!M343&lt;&gt;9999,'Ballot Entry'!M343, "")</f>
        <v/>
      </c>
      <c r="D374" s="9" t="str">
        <f>IF('Ballot Entry'!N343&lt;&gt;9999,'Ballot Entry'!N343, "")</f>
        <v/>
      </c>
      <c r="E374" s="9" t="str">
        <f>IF('Ballot Entry'!$M343&lt;&gt;9999,'Ballot Entry'!P343,"")</f>
        <v/>
      </c>
      <c r="F374" s="9" t="e">
        <f t="shared" si="276"/>
        <v>#N/A</v>
      </c>
      <c r="G374" s="9" t="e">
        <f t="shared" si="277"/>
        <v>#VALUE!</v>
      </c>
      <c r="H374" s="395" t="e">
        <f t="shared" ref="H374:K374" si="280">H340</f>
        <v>#N/A</v>
      </c>
      <c r="I374" s="395" t="e">
        <f t="shared" si="280"/>
        <v>#N/A</v>
      </c>
      <c r="J374" s="395" t="e">
        <f t="shared" si="280"/>
        <v>#N/A</v>
      </c>
      <c r="K374" s="395" t="e">
        <f t="shared" si="280"/>
        <v>#N/A</v>
      </c>
    </row>
    <row r="375" spans="1:15" x14ac:dyDescent="0.2">
      <c r="A375" s="395">
        <v>4</v>
      </c>
      <c r="B375" s="395">
        <v>2</v>
      </c>
      <c r="C375" s="9" t="str">
        <f>IF('Ballot Entry'!M344&lt;&gt;9999,'Ballot Entry'!M344, "")</f>
        <v/>
      </c>
      <c r="D375" s="9" t="str">
        <f>IF('Ballot Entry'!N344&lt;&gt;9999,'Ballot Entry'!N344, "")</f>
        <v/>
      </c>
      <c r="E375" s="9" t="str">
        <f>IF('Ballot Entry'!$M344&lt;&gt;9999,'Ballot Entry'!P344,"")</f>
        <v/>
      </c>
      <c r="F375" s="9" t="e">
        <f t="shared" si="276"/>
        <v>#N/A</v>
      </c>
      <c r="G375" s="9" t="e">
        <f t="shared" si="277"/>
        <v>#VALUE!</v>
      </c>
      <c r="H375" s="395" t="e">
        <f t="shared" ref="H375:K375" si="281">H341</f>
        <v>#N/A</v>
      </c>
      <c r="I375" s="395" t="e">
        <f t="shared" si="281"/>
        <v>#N/A</v>
      </c>
      <c r="J375" s="395" t="e">
        <f t="shared" si="281"/>
        <v>#N/A</v>
      </c>
      <c r="K375" s="395" t="e">
        <f t="shared" si="281"/>
        <v>#N/A</v>
      </c>
    </row>
    <row r="376" spans="1:15" x14ac:dyDescent="0.2">
      <c r="A376" s="395">
        <v>4</v>
      </c>
      <c r="B376" s="395">
        <v>2</v>
      </c>
      <c r="C376" s="9" t="str">
        <f>IF('Ballot Entry'!M345&lt;&gt;9999,'Ballot Entry'!M345, "")</f>
        <v/>
      </c>
      <c r="D376" s="9" t="str">
        <f>IF('Ballot Entry'!N345&lt;&gt;9999,'Ballot Entry'!N345, "")</f>
        <v/>
      </c>
      <c r="E376" s="9" t="str">
        <f>IF('Ballot Entry'!$M345&lt;&gt;9999,'Ballot Entry'!P345,"")</f>
        <v/>
      </c>
      <c r="F376" s="9" t="e">
        <f t="shared" si="276"/>
        <v>#N/A</v>
      </c>
      <c r="G376" s="9" t="e">
        <f t="shared" si="277"/>
        <v>#VALUE!</v>
      </c>
      <c r="H376" s="395" t="e">
        <f t="shared" ref="H376:K376" si="282">H342</f>
        <v>#N/A</v>
      </c>
      <c r="I376" s="395" t="e">
        <f t="shared" si="282"/>
        <v>#N/A</v>
      </c>
      <c r="J376" s="395" t="e">
        <f t="shared" si="282"/>
        <v>#N/A</v>
      </c>
      <c r="K376" s="395" t="e">
        <f t="shared" si="282"/>
        <v>#N/A</v>
      </c>
    </row>
    <row r="377" spans="1:15" x14ac:dyDescent="0.2">
      <c r="A377" s="395">
        <v>4</v>
      </c>
      <c r="B377" s="395">
        <v>2</v>
      </c>
      <c r="C377" s="9" t="str">
        <f>IF('Ballot Entry'!M346&lt;&gt;9999,'Ballot Entry'!M346, "")</f>
        <v/>
      </c>
      <c r="D377" s="9" t="str">
        <f>IF('Ballot Entry'!N346&lt;&gt;9999,'Ballot Entry'!N346, "")</f>
        <v/>
      </c>
      <c r="E377" s="9" t="str">
        <f>IF('Ballot Entry'!$M346&lt;&gt;9999,'Ballot Entry'!P346,"")</f>
        <v/>
      </c>
      <c r="F377" s="9" t="e">
        <f t="shared" si="276"/>
        <v>#N/A</v>
      </c>
      <c r="G377" s="9" t="e">
        <f t="shared" si="277"/>
        <v>#VALUE!</v>
      </c>
      <c r="H377" s="395" t="e">
        <f t="shared" ref="H377:K377" si="283">H343</f>
        <v>#N/A</v>
      </c>
      <c r="I377" s="395" t="e">
        <f t="shared" si="283"/>
        <v>#N/A</v>
      </c>
      <c r="J377" s="395" t="e">
        <f t="shared" si="283"/>
        <v>#N/A</v>
      </c>
      <c r="K377" s="395" t="e">
        <f t="shared" si="283"/>
        <v>#N/A</v>
      </c>
    </row>
    <row r="378" spans="1:15" x14ac:dyDescent="0.2">
      <c r="A378" s="395">
        <v>4</v>
      </c>
      <c r="B378" s="395">
        <v>2</v>
      </c>
      <c r="C378" s="9" t="str">
        <f>IF('Ballot Entry'!M347&lt;&gt;9999,'Ballot Entry'!M347, "")</f>
        <v/>
      </c>
      <c r="D378" s="9" t="str">
        <f>IF('Ballot Entry'!N347&lt;&gt;9999,'Ballot Entry'!N347, "")</f>
        <v/>
      </c>
      <c r="E378" s="9" t="str">
        <f>IF('Ballot Entry'!$M347&lt;&gt;9999,'Ballot Entry'!P347,"")</f>
        <v/>
      </c>
      <c r="F378" s="9" t="e">
        <f t="shared" si="276"/>
        <v>#N/A</v>
      </c>
      <c r="G378" s="9" t="e">
        <f t="shared" si="277"/>
        <v>#VALUE!</v>
      </c>
      <c r="H378" s="395" t="e">
        <f t="shared" ref="H378:K378" si="284">H344</f>
        <v>#N/A</v>
      </c>
      <c r="I378" s="395" t="e">
        <f t="shared" si="284"/>
        <v>#N/A</v>
      </c>
      <c r="J378" s="395" t="e">
        <f t="shared" si="284"/>
        <v>#N/A</v>
      </c>
      <c r="K378" s="395" t="e">
        <f t="shared" si="284"/>
        <v>#N/A</v>
      </c>
    </row>
    <row r="379" spans="1:15" x14ac:dyDescent="0.2">
      <c r="A379" s="395">
        <v>4</v>
      </c>
      <c r="B379" s="395">
        <v>2</v>
      </c>
      <c r="C379" s="9" t="str">
        <f>IF('Ballot Entry'!M348&lt;&gt;9999,'Ballot Entry'!M348, "")</f>
        <v/>
      </c>
      <c r="D379" s="9" t="str">
        <f>IF('Ballot Entry'!N348&lt;&gt;9999,'Ballot Entry'!N348, "")</f>
        <v/>
      </c>
      <c r="E379" s="9" t="str">
        <f>IF('Ballot Entry'!$M348&lt;&gt;9999,'Ballot Entry'!P348,"")</f>
        <v/>
      </c>
      <c r="F379" s="9" t="e">
        <f t="shared" si="276"/>
        <v>#N/A</v>
      </c>
      <c r="G379" s="9" t="e">
        <f t="shared" si="277"/>
        <v>#VALUE!</v>
      </c>
      <c r="H379" s="395" t="e">
        <f t="shared" ref="H379:K379" si="285">H345</f>
        <v>#N/A</v>
      </c>
      <c r="I379" s="395" t="e">
        <f t="shared" si="285"/>
        <v>#N/A</v>
      </c>
      <c r="J379" s="395" t="e">
        <f t="shared" si="285"/>
        <v>#N/A</v>
      </c>
      <c r="K379" s="395" t="e">
        <f t="shared" si="285"/>
        <v>#N/A</v>
      </c>
    </row>
    <row r="380" spans="1:15" x14ac:dyDescent="0.2">
      <c r="A380" s="395">
        <v>4</v>
      </c>
      <c r="B380" s="395">
        <v>2</v>
      </c>
      <c r="C380" s="9" t="str">
        <f>IF('Ballot Entry'!M349&lt;&gt;9999,'Ballot Entry'!M349, "")</f>
        <v/>
      </c>
      <c r="D380" s="9" t="str">
        <f>IF('Ballot Entry'!N349&lt;&gt;9999,'Ballot Entry'!N349, "")</f>
        <v/>
      </c>
      <c r="E380" s="9" t="str">
        <f>IF('Ballot Entry'!$M349&lt;&gt;9999,'Ballot Entry'!P349,"")</f>
        <v/>
      </c>
      <c r="F380" s="9" t="e">
        <f t="shared" si="276"/>
        <v>#N/A</v>
      </c>
      <c r="G380" s="9" t="e">
        <f t="shared" si="277"/>
        <v>#VALUE!</v>
      </c>
      <c r="H380" s="395" t="e">
        <f t="shared" ref="H380:K380" si="286">H346</f>
        <v>#N/A</v>
      </c>
      <c r="I380" s="395" t="e">
        <f t="shared" si="286"/>
        <v>#N/A</v>
      </c>
      <c r="J380" s="395" t="e">
        <f t="shared" si="286"/>
        <v>#N/A</v>
      </c>
      <c r="K380" s="395" t="e">
        <f t="shared" si="286"/>
        <v>#N/A</v>
      </c>
      <c r="O380" s="396"/>
    </row>
    <row r="381" spans="1:15" x14ac:dyDescent="0.2">
      <c r="A381" s="395">
        <v>4</v>
      </c>
      <c r="B381" s="395">
        <v>2</v>
      </c>
      <c r="C381" s="9" t="str">
        <f>IF('Ballot Entry'!M350&lt;&gt;9999,'Ballot Entry'!M350, "")</f>
        <v/>
      </c>
      <c r="D381" s="9" t="str">
        <f>IF('Ballot Entry'!N350&lt;&gt;9999,'Ballot Entry'!N350, "")</f>
        <v/>
      </c>
      <c r="E381" s="9" t="str">
        <f>IF('Ballot Entry'!$M350&lt;&gt;9999,'Ballot Entry'!P350,"")</f>
        <v/>
      </c>
      <c r="F381" s="9" t="e">
        <f t="shared" si="276"/>
        <v>#N/A</v>
      </c>
      <c r="G381" s="9" t="e">
        <f t="shared" si="277"/>
        <v>#VALUE!</v>
      </c>
      <c r="H381" s="395" t="e">
        <f t="shared" ref="H381:K381" si="287">H347</f>
        <v>#N/A</v>
      </c>
      <c r="I381" s="395" t="e">
        <f t="shared" si="287"/>
        <v>#N/A</v>
      </c>
      <c r="J381" s="395" t="e">
        <f t="shared" si="287"/>
        <v>#N/A</v>
      </c>
      <c r="K381" s="395" t="e">
        <f t="shared" si="287"/>
        <v>#N/A</v>
      </c>
    </row>
    <row r="382" spans="1:15" x14ac:dyDescent="0.2">
      <c r="A382" s="395">
        <v>4</v>
      </c>
      <c r="B382" s="395">
        <v>2</v>
      </c>
      <c r="C382" s="9" t="str">
        <f>IF('Ballot Entry'!M351&lt;&gt;9999,'Ballot Entry'!M351, "")</f>
        <v/>
      </c>
      <c r="D382" s="9" t="str">
        <f>IF('Ballot Entry'!N351&lt;&gt;9999,'Ballot Entry'!N351, "")</f>
        <v/>
      </c>
      <c r="E382" s="9" t="str">
        <f>IF('Ballot Entry'!$M351&lt;&gt;9999,'Ballot Entry'!P351,"")</f>
        <v/>
      </c>
      <c r="F382" s="9" t="e">
        <f t="shared" si="276"/>
        <v>#N/A</v>
      </c>
      <c r="G382" s="9" t="e">
        <f t="shared" si="277"/>
        <v>#VALUE!</v>
      </c>
      <c r="H382" s="395" t="e">
        <f t="shared" ref="H382:K382" si="288">H348</f>
        <v>#N/A</v>
      </c>
      <c r="I382" s="395" t="e">
        <f t="shared" si="288"/>
        <v>#N/A</v>
      </c>
      <c r="J382" s="395" t="e">
        <f t="shared" si="288"/>
        <v>#N/A</v>
      </c>
      <c r="K382" s="395" t="e">
        <f t="shared" si="288"/>
        <v>#N/A</v>
      </c>
    </row>
    <row r="383" spans="1:15" x14ac:dyDescent="0.2">
      <c r="A383" s="395">
        <v>4</v>
      </c>
      <c r="B383" s="395">
        <v>2</v>
      </c>
      <c r="C383" s="9" t="str">
        <f>IF('Ballot Entry'!M352&lt;&gt;9999,'Ballot Entry'!M352, "")</f>
        <v/>
      </c>
      <c r="D383" s="9" t="str">
        <f>IF('Ballot Entry'!N352&lt;&gt;9999,'Ballot Entry'!N352, "")</f>
        <v/>
      </c>
      <c r="E383" s="9" t="str">
        <f>IF('Ballot Entry'!$M352&lt;&gt;9999,'Ballot Entry'!P352,"")</f>
        <v/>
      </c>
      <c r="F383" s="9" t="e">
        <f t="shared" si="276"/>
        <v>#N/A</v>
      </c>
      <c r="G383" s="9" t="e">
        <f t="shared" si="277"/>
        <v>#VALUE!</v>
      </c>
      <c r="H383" s="395" t="e">
        <f t="shared" ref="H383:K383" si="289">H349</f>
        <v>#N/A</v>
      </c>
      <c r="I383" s="395" t="e">
        <f t="shared" si="289"/>
        <v>#N/A</v>
      </c>
      <c r="J383" s="395" t="e">
        <f t="shared" si="289"/>
        <v>#N/A</v>
      </c>
      <c r="K383" s="395" t="e">
        <f t="shared" si="289"/>
        <v>#N/A</v>
      </c>
      <c r="O383" s="396"/>
    </row>
    <row r="384" spans="1:15" x14ac:dyDescent="0.2">
      <c r="A384" s="395">
        <v>4</v>
      </c>
      <c r="B384" s="395">
        <v>2</v>
      </c>
      <c r="C384" s="9" t="str">
        <f>IF('Ballot Entry'!M353&lt;&gt;9999,'Ballot Entry'!M353, "")</f>
        <v/>
      </c>
      <c r="D384" s="9" t="str">
        <f>IF('Ballot Entry'!N353&lt;&gt;9999,'Ballot Entry'!N353, "")</f>
        <v/>
      </c>
      <c r="E384" s="9" t="str">
        <f>IF('Ballot Entry'!$M353&lt;&gt;9999,'Ballot Entry'!P353,"")</f>
        <v/>
      </c>
      <c r="F384" s="9" t="e">
        <f t="shared" si="276"/>
        <v>#N/A</v>
      </c>
      <c r="G384" s="9" t="e">
        <f t="shared" si="277"/>
        <v>#VALUE!</v>
      </c>
      <c r="H384" s="395" t="e">
        <f t="shared" ref="H384:K384" si="290">H350</f>
        <v>#N/A</v>
      </c>
      <c r="I384" s="395" t="e">
        <f t="shared" si="290"/>
        <v>#N/A</v>
      </c>
      <c r="J384" s="395" t="e">
        <f t="shared" si="290"/>
        <v>#N/A</v>
      </c>
      <c r="K384" s="395" t="e">
        <f t="shared" si="290"/>
        <v>#N/A</v>
      </c>
      <c r="L384" s="396"/>
      <c r="M384" s="396"/>
      <c r="N384" s="396"/>
      <c r="O384" s="396"/>
    </row>
    <row r="385" spans="1:15" x14ac:dyDescent="0.2">
      <c r="A385" s="395">
        <v>4</v>
      </c>
      <c r="B385" s="395">
        <v>2</v>
      </c>
      <c r="C385" s="9" t="str">
        <f>IF('Ballot Entry'!M354&lt;&gt;9999,'Ballot Entry'!M354, "")</f>
        <v/>
      </c>
      <c r="D385" s="9" t="str">
        <f>IF('Ballot Entry'!N354&lt;&gt;9999,'Ballot Entry'!N354, "")</f>
        <v/>
      </c>
      <c r="E385" s="9" t="str">
        <f>IF('Ballot Entry'!$M354&lt;&gt;9999,'Ballot Entry'!P354,"")</f>
        <v/>
      </c>
      <c r="F385" s="9" t="e">
        <f t="shared" si="276"/>
        <v>#N/A</v>
      </c>
      <c r="G385" s="9" t="e">
        <f t="shared" si="277"/>
        <v>#VALUE!</v>
      </c>
      <c r="H385" s="395" t="e">
        <f t="shared" ref="H385:K385" si="291">H351</f>
        <v>#N/A</v>
      </c>
      <c r="I385" s="395" t="e">
        <f t="shared" si="291"/>
        <v>#N/A</v>
      </c>
      <c r="J385" s="395" t="e">
        <f t="shared" si="291"/>
        <v>#N/A</v>
      </c>
      <c r="K385" s="395" t="e">
        <f t="shared" si="291"/>
        <v>#N/A</v>
      </c>
    </row>
    <row r="386" spans="1:15" x14ac:dyDescent="0.2">
      <c r="A386" s="395">
        <v>4</v>
      </c>
      <c r="B386" s="395">
        <v>2</v>
      </c>
      <c r="C386" s="9" t="str">
        <f>IF('Ballot Entry'!M355&lt;&gt;9999,'Ballot Entry'!M355, "")</f>
        <v/>
      </c>
      <c r="D386" s="9" t="str">
        <f>IF('Ballot Entry'!N355&lt;&gt;9999,'Ballot Entry'!N355, "")</f>
        <v/>
      </c>
      <c r="E386" s="9" t="str">
        <f>IF('Ballot Entry'!$M355&lt;&gt;9999,'Ballot Entry'!P355,"")</f>
        <v/>
      </c>
      <c r="F386" s="9" t="e">
        <f t="shared" si="276"/>
        <v>#N/A</v>
      </c>
      <c r="G386" s="9" t="e">
        <f t="shared" si="277"/>
        <v>#VALUE!</v>
      </c>
      <c r="H386" s="395" t="e">
        <f t="shared" ref="H386:K386" si="292">H352</f>
        <v>#N/A</v>
      </c>
      <c r="I386" s="395" t="e">
        <f t="shared" si="292"/>
        <v>#N/A</v>
      </c>
      <c r="J386" s="395" t="e">
        <f t="shared" si="292"/>
        <v>#N/A</v>
      </c>
      <c r="K386" s="395" t="e">
        <f t="shared" si="292"/>
        <v>#N/A</v>
      </c>
      <c r="O386" s="396"/>
    </row>
    <row r="387" spans="1:15" x14ac:dyDescent="0.2">
      <c r="A387" s="395">
        <v>4</v>
      </c>
      <c r="B387" s="395">
        <v>3</v>
      </c>
      <c r="C387" s="9">
        <f>IF('Ballot Entry'!M321&lt;&gt;9999,'Ballot Entry'!M321, "")</f>
        <v>1506</v>
      </c>
      <c r="D387" s="9">
        <f>IF('Ballot Entry'!N321&lt;&gt;9999,'Ballot Entry'!N321, "")</f>
        <v>1001</v>
      </c>
      <c r="E387" s="9">
        <f>IF('Ballot Entry'!$M321&lt;&gt;9999,'Ballot Entry'!Q321,"")</f>
        <v>0</v>
      </c>
      <c r="F387" s="9" t="str">
        <f t="shared" si="259"/>
        <v>T</v>
      </c>
      <c r="G387" s="9">
        <f t="shared" si="252"/>
        <v>0</v>
      </c>
      <c r="H387" s="395" t="e">
        <f>H353</f>
        <v>#N/A</v>
      </c>
      <c r="I387" s="395" t="e">
        <f t="shared" ref="I387:K387" si="293">I353</f>
        <v>#N/A</v>
      </c>
      <c r="J387" s="395" t="e">
        <f t="shared" si="293"/>
        <v>#N/A</v>
      </c>
      <c r="K387" s="395" t="e">
        <f t="shared" si="293"/>
        <v>#N/A</v>
      </c>
      <c r="L387" s="396"/>
      <c r="M387" s="396"/>
      <c r="N387" s="396"/>
      <c r="O387" s="396"/>
    </row>
    <row r="388" spans="1:15" x14ac:dyDescent="0.2">
      <c r="A388" s="395">
        <v>4</v>
      </c>
      <c r="B388" s="395">
        <v>3</v>
      </c>
      <c r="C388" s="9">
        <f>IF('Ballot Entry'!M322&lt;&gt;9999,'Ballot Entry'!M322, "")</f>
        <v>1410</v>
      </c>
      <c r="D388" s="9">
        <f>IF('Ballot Entry'!N322&lt;&gt;9999,'Ballot Entry'!N322, "")</f>
        <v>1489</v>
      </c>
      <c r="E388" s="9">
        <f>IF('Ballot Entry'!$M322&lt;&gt;9999,'Ballot Entry'!Q322,"")</f>
        <v>0</v>
      </c>
      <c r="F388" s="9" t="str">
        <f t="shared" si="259"/>
        <v>T</v>
      </c>
      <c r="G388" s="9">
        <f t="shared" si="252"/>
        <v>0</v>
      </c>
      <c r="H388" s="395" t="e">
        <f t="shared" ref="H388:K388" si="294">H354</f>
        <v>#N/A</v>
      </c>
      <c r="I388" s="395" t="e">
        <f t="shared" si="294"/>
        <v>#N/A</v>
      </c>
      <c r="J388" s="395" t="e">
        <f t="shared" si="294"/>
        <v>#N/A</v>
      </c>
      <c r="K388" s="395" t="e">
        <f t="shared" si="294"/>
        <v>#N/A</v>
      </c>
    </row>
    <row r="389" spans="1:15" x14ac:dyDescent="0.2">
      <c r="A389" s="395">
        <v>4</v>
      </c>
      <c r="B389" s="395">
        <v>3</v>
      </c>
      <c r="C389" s="9">
        <f>IF('Ballot Entry'!M323&lt;&gt;9999,'Ballot Entry'!M323, "")</f>
        <v>1577</v>
      </c>
      <c r="D389" s="9">
        <f>IF('Ballot Entry'!N323&lt;&gt;9999,'Ballot Entry'!N323, "")</f>
        <v>1517</v>
      </c>
      <c r="E389" s="9">
        <f>IF('Ballot Entry'!$M323&lt;&gt;9999,'Ballot Entry'!Q323,"")</f>
        <v>0</v>
      </c>
      <c r="F389" s="9" t="str">
        <f t="shared" si="259"/>
        <v>T</v>
      </c>
      <c r="G389" s="9">
        <f t="shared" si="252"/>
        <v>0</v>
      </c>
      <c r="H389" s="395" t="e">
        <f t="shared" ref="H389:K389" si="295">H355</f>
        <v>#N/A</v>
      </c>
      <c r="I389" s="395" t="e">
        <f t="shared" si="295"/>
        <v>#N/A</v>
      </c>
      <c r="J389" s="395" t="e">
        <f t="shared" si="295"/>
        <v>#N/A</v>
      </c>
      <c r="K389" s="395" t="e">
        <f t="shared" si="295"/>
        <v>#N/A</v>
      </c>
      <c r="O389" s="396"/>
    </row>
    <row r="390" spans="1:15" x14ac:dyDescent="0.2">
      <c r="A390" s="395">
        <v>4</v>
      </c>
      <c r="B390" s="395">
        <v>3</v>
      </c>
      <c r="C390" s="9">
        <f>IF('Ballot Entry'!M324&lt;&gt;9999,'Ballot Entry'!M324, "")</f>
        <v>1029</v>
      </c>
      <c r="D390" s="9">
        <f>IF('Ballot Entry'!N324&lt;&gt;9999,'Ballot Entry'!N324, "")</f>
        <v>1616</v>
      </c>
      <c r="E390" s="9">
        <f>IF('Ballot Entry'!$M324&lt;&gt;9999,'Ballot Entry'!Q324,"")</f>
        <v>0</v>
      </c>
      <c r="F390" s="9" t="str">
        <f t="shared" si="259"/>
        <v>T</v>
      </c>
      <c r="G390" s="9">
        <f t="shared" si="252"/>
        <v>0</v>
      </c>
      <c r="H390" s="395" t="e">
        <f t="shared" ref="H390:K390" si="296">H356</f>
        <v>#N/A</v>
      </c>
      <c r="I390" s="395" t="e">
        <f t="shared" si="296"/>
        <v>#N/A</v>
      </c>
      <c r="J390" s="395" t="e">
        <f t="shared" si="296"/>
        <v>#N/A</v>
      </c>
      <c r="K390" s="395" t="e">
        <f t="shared" si="296"/>
        <v>#N/A</v>
      </c>
      <c r="L390" s="396"/>
      <c r="M390" s="396"/>
      <c r="N390" s="396"/>
      <c r="O390" s="396"/>
    </row>
    <row r="391" spans="1:15" x14ac:dyDescent="0.2">
      <c r="A391" s="395">
        <v>4</v>
      </c>
      <c r="B391" s="395">
        <v>3</v>
      </c>
      <c r="C391" s="9">
        <f>IF('Ballot Entry'!M325&lt;&gt;9999,'Ballot Entry'!M325, "")</f>
        <v>1051</v>
      </c>
      <c r="D391" s="9">
        <f>IF('Ballot Entry'!N325&lt;&gt;9999,'Ballot Entry'!N325, "")</f>
        <v>1217</v>
      </c>
      <c r="E391" s="9">
        <f>IF('Ballot Entry'!$M325&lt;&gt;9999,'Ballot Entry'!Q325,"")</f>
        <v>0</v>
      </c>
      <c r="F391" s="9" t="str">
        <f t="shared" si="259"/>
        <v>T</v>
      </c>
      <c r="G391" s="9">
        <f t="shared" si="252"/>
        <v>0</v>
      </c>
      <c r="H391" s="395" t="e">
        <f t="shared" ref="H391:K391" si="297">H357</f>
        <v>#N/A</v>
      </c>
      <c r="I391" s="395" t="e">
        <f t="shared" si="297"/>
        <v>#N/A</v>
      </c>
      <c r="J391" s="395" t="e">
        <f t="shared" si="297"/>
        <v>#N/A</v>
      </c>
      <c r="K391" s="395" t="e">
        <f t="shared" si="297"/>
        <v>#N/A</v>
      </c>
    </row>
    <row r="392" spans="1:15" x14ac:dyDescent="0.2">
      <c r="A392" s="395">
        <v>4</v>
      </c>
      <c r="B392" s="395">
        <v>3</v>
      </c>
      <c r="C392" s="9">
        <f>IF('Ballot Entry'!M326&lt;&gt;9999,'Ballot Entry'!M326, "")</f>
        <v>1492</v>
      </c>
      <c r="D392" s="9">
        <f>IF('Ballot Entry'!N326&lt;&gt;9999,'Ballot Entry'!N326, "")</f>
        <v>1258</v>
      </c>
      <c r="E392" s="9">
        <f>IF('Ballot Entry'!$M326&lt;&gt;9999,'Ballot Entry'!Q326,"")</f>
        <v>0</v>
      </c>
      <c r="F392" s="9" t="str">
        <f t="shared" si="259"/>
        <v>T</v>
      </c>
      <c r="G392" s="9">
        <f t="shared" si="252"/>
        <v>0</v>
      </c>
      <c r="H392" s="395" t="e">
        <f t="shared" ref="H392:K392" si="298">H358</f>
        <v>#N/A</v>
      </c>
      <c r="I392" s="395" t="e">
        <f t="shared" si="298"/>
        <v>#N/A</v>
      </c>
      <c r="J392" s="395" t="e">
        <f t="shared" si="298"/>
        <v>#N/A</v>
      </c>
      <c r="K392" s="395" t="e">
        <f t="shared" si="298"/>
        <v>#N/A</v>
      </c>
      <c r="O392" s="396"/>
    </row>
    <row r="393" spans="1:15" x14ac:dyDescent="0.2">
      <c r="A393" s="395">
        <v>4</v>
      </c>
      <c r="B393" s="395">
        <v>3</v>
      </c>
      <c r="C393" s="9">
        <f>IF('Ballot Entry'!M327&lt;&gt;9999,'Ballot Entry'!M327, "")</f>
        <v>1078</v>
      </c>
      <c r="D393" s="9">
        <f>IF('Ballot Entry'!N327&lt;&gt;9999,'Ballot Entry'!N327, "")</f>
        <v>1262</v>
      </c>
      <c r="E393" s="9">
        <f>IF('Ballot Entry'!$M327&lt;&gt;9999,'Ballot Entry'!Q327,"")</f>
        <v>0</v>
      </c>
      <c r="F393" s="9" t="str">
        <f t="shared" si="259"/>
        <v>T</v>
      </c>
      <c r="G393" s="9">
        <f t="shared" si="252"/>
        <v>0</v>
      </c>
      <c r="H393" s="395" t="e">
        <f t="shared" ref="H393:K393" si="299">H359</f>
        <v>#N/A</v>
      </c>
      <c r="I393" s="395" t="e">
        <f t="shared" si="299"/>
        <v>#N/A</v>
      </c>
      <c r="J393" s="395" t="e">
        <f t="shared" si="299"/>
        <v>#N/A</v>
      </c>
      <c r="K393" s="395" t="e">
        <f t="shared" si="299"/>
        <v>#N/A</v>
      </c>
      <c r="L393" s="396"/>
      <c r="M393" s="396"/>
      <c r="N393" s="396"/>
      <c r="O393" s="396"/>
    </row>
    <row r="394" spans="1:15" x14ac:dyDescent="0.2">
      <c r="A394" s="395">
        <v>4</v>
      </c>
      <c r="B394" s="395">
        <v>3</v>
      </c>
      <c r="C394" s="9">
        <f>IF('Ballot Entry'!M328&lt;&gt;9999,'Ballot Entry'!M328, "")</f>
        <v>1224</v>
      </c>
      <c r="D394" s="9">
        <f>IF('Ballot Entry'!N328&lt;&gt;9999,'Ballot Entry'!N328, "")</f>
        <v>1693</v>
      </c>
      <c r="E394" s="9">
        <f>IF('Ballot Entry'!$M328&lt;&gt;9999,'Ballot Entry'!Q328,"")</f>
        <v>0</v>
      </c>
      <c r="F394" s="9" t="str">
        <f t="shared" si="259"/>
        <v>T</v>
      </c>
      <c r="G394" s="9">
        <f t="shared" si="252"/>
        <v>0</v>
      </c>
      <c r="H394" s="395" t="e">
        <f t="shared" ref="H394:K394" si="300">H360</f>
        <v>#N/A</v>
      </c>
      <c r="I394" s="395" t="e">
        <f t="shared" si="300"/>
        <v>#N/A</v>
      </c>
      <c r="J394" s="395" t="e">
        <f t="shared" si="300"/>
        <v>#N/A</v>
      </c>
      <c r="K394" s="395" t="e">
        <f t="shared" si="300"/>
        <v>#N/A</v>
      </c>
    </row>
    <row r="395" spans="1:15" x14ac:dyDescent="0.2">
      <c r="A395" s="395">
        <v>4</v>
      </c>
      <c r="B395" s="395">
        <v>3</v>
      </c>
      <c r="C395" s="9">
        <f>IF('Ballot Entry'!M329&lt;&gt;9999,'Ballot Entry'!M329, "")</f>
        <v>1557</v>
      </c>
      <c r="D395" s="9">
        <f>IF('Ballot Entry'!N329&lt;&gt;9999,'Ballot Entry'!N329, "")</f>
        <v>1268</v>
      </c>
      <c r="E395" s="9">
        <f>IF('Ballot Entry'!$M329&lt;&gt;9999,'Ballot Entry'!Q329,"")</f>
        <v>0</v>
      </c>
      <c r="F395" s="9" t="str">
        <f t="shared" si="259"/>
        <v>T</v>
      </c>
      <c r="G395" s="9">
        <f t="shared" si="252"/>
        <v>0</v>
      </c>
      <c r="H395" s="395" t="e">
        <f t="shared" ref="H395:K395" si="301">H361</f>
        <v>#N/A</v>
      </c>
      <c r="I395" s="395" t="e">
        <f t="shared" si="301"/>
        <v>#N/A</v>
      </c>
      <c r="J395" s="395" t="e">
        <f t="shared" si="301"/>
        <v>#N/A</v>
      </c>
      <c r="K395" s="395" t="e">
        <f t="shared" si="301"/>
        <v>#N/A</v>
      </c>
      <c r="O395" s="396"/>
    </row>
    <row r="396" spans="1:15" x14ac:dyDescent="0.2">
      <c r="A396" s="395">
        <v>4</v>
      </c>
      <c r="B396" s="395">
        <v>3</v>
      </c>
      <c r="C396" s="9" t="str">
        <f>IF('Ballot Entry'!M330&lt;&gt;9999,'Ballot Entry'!M330, "")</f>
        <v/>
      </c>
      <c r="D396" s="9" t="str">
        <f>IF('Ballot Entry'!N330&lt;&gt;9999,'Ballot Entry'!N330, "")</f>
        <v/>
      </c>
      <c r="E396" s="9" t="str">
        <f>IF('Ballot Entry'!$M330&lt;&gt;9999,'Ballot Entry'!Q330,"")</f>
        <v/>
      </c>
      <c r="F396" s="9" t="e">
        <f t="shared" si="259"/>
        <v>#N/A</v>
      </c>
      <c r="G396" s="9" t="e">
        <f t="shared" si="252"/>
        <v>#VALUE!</v>
      </c>
      <c r="H396" s="395" t="e">
        <f t="shared" ref="H396:K396" si="302">H362</f>
        <v>#N/A</v>
      </c>
      <c r="I396" s="395" t="e">
        <f t="shared" si="302"/>
        <v>#N/A</v>
      </c>
      <c r="J396" s="395" t="e">
        <f t="shared" si="302"/>
        <v>#N/A</v>
      </c>
      <c r="K396" s="395" t="e">
        <f t="shared" si="302"/>
        <v>#N/A</v>
      </c>
      <c r="L396" s="396"/>
      <c r="M396" s="396"/>
      <c r="N396" s="396"/>
      <c r="O396" s="396"/>
    </row>
    <row r="397" spans="1:15" x14ac:dyDescent="0.2">
      <c r="A397" s="395">
        <v>4</v>
      </c>
      <c r="B397" s="395">
        <v>3</v>
      </c>
      <c r="C397" s="9" t="str">
        <f>IF('Ballot Entry'!M331&lt;&gt;9999,'Ballot Entry'!M331, "")</f>
        <v/>
      </c>
      <c r="D397" s="9" t="str">
        <f>IF('Ballot Entry'!N331&lt;&gt;9999,'Ballot Entry'!N331, "")</f>
        <v/>
      </c>
      <c r="E397" s="9" t="str">
        <f>IF('Ballot Entry'!$M331&lt;&gt;9999,'Ballot Entry'!Q331,"")</f>
        <v/>
      </c>
      <c r="F397" s="9" t="e">
        <f t="shared" si="259"/>
        <v>#N/A</v>
      </c>
      <c r="G397" s="9" t="e">
        <f t="shared" si="252"/>
        <v>#VALUE!</v>
      </c>
      <c r="H397" s="395" t="e">
        <f t="shared" ref="H397:K397" si="303">H363</f>
        <v>#N/A</v>
      </c>
      <c r="I397" s="395" t="e">
        <f t="shared" si="303"/>
        <v>#N/A</v>
      </c>
      <c r="J397" s="395" t="e">
        <f t="shared" si="303"/>
        <v>#N/A</v>
      </c>
      <c r="K397" s="395" t="e">
        <f t="shared" si="303"/>
        <v>#N/A</v>
      </c>
    </row>
    <row r="398" spans="1:15" x14ac:dyDescent="0.2">
      <c r="A398" s="395">
        <v>4</v>
      </c>
      <c r="B398" s="395">
        <v>3</v>
      </c>
      <c r="C398" s="9" t="str">
        <f>IF('Ballot Entry'!M332&lt;&gt;9999,'Ballot Entry'!M332, "")</f>
        <v/>
      </c>
      <c r="D398" s="9" t="str">
        <f>IF('Ballot Entry'!N332&lt;&gt;9999,'Ballot Entry'!N332, "")</f>
        <v/>
      </c>
      <c r="E398" s="9" t="str">
        <f>IF('Ballot Entry'!$M332&lt;&gt;9999,'Ballot Entry'!Q332,"")</f>
        <v/>
      </c>
      <c r="F398" s="9" t="e">
        <f t="shared" si="259"/>
        <v>#N/A</v>
      </c>
      <c r="G398" s="9" t="e">
        <f t="shared" si="252"/>
        <v>#VALUE!</v>
      </c>
      <c r="H398" s="395" t="e">
        <f t="shared" ref="H398:K398" si="304">H364</f>
        <v>#N/A</v>
      </c>
      <c r="I398" s="395" t="e">
        <f t="shared" si="304"/>
        <v>#N/A</v>
      </c>
      <c r="J398" s="395" t="e">
        <f t="shared" si="304"/>
        <v>#N/A</v>
      </c>
      <c r="K398" s="395" t="e">
        <f t="shared" si="304"/>
        <v>#N/A</v>
      </c>
      <c r="O398" s="396"/>
    </row>
    <row r="399" spans="1:15" x14ac:dyDescent="0.2">
      <c r="A399" s="395">
        <v>4</v>
      </c>
      <c r="B399" s="395">
        <v>3</v>
      </c>
      <c r="C399" s="9" t="str">
        <f>IF('Ballot Entry'!M333&lt;&gt;9999,'Ballot Entry'!M333, "")</f>
        <v/>
      </c>
      <c r="D399" s="9" t="str">
        <f>IF('Ballot Entry'!N333&lt;&gt;9999,'Ballot Entry'!N333, "")</f>
        <v/>
      </c>
      <c r="E399" s="9" t="str">
        <f>IF('Ballot Entry'!$M333&lt;&gt;9999,'Ballot Entry'!Q333,"")</f>
        <v/>
      </c>
      <c r="F399" s="9" t="e">
        <f t="shared" si="259"/>
        <v>#N/A</v>
      </c>
      <c r="G399" s="9" t="e">
        <f t="shared" si="252"/>
        <v>#VALUE!</v>
      </c>
      <c r="H399" s="395" t="e">
        <f t="shared" ref="H399:K399" si="305">H365</f>
        <v>#N/A</v>
      </c>
      <c r="I399" s="395" t="e">
        <f t="shared" si="305"/>
        <v>#N/A</v>
      </c>
      <c r="J399" s="395" t="e">
        <f t="shared" si="305"/>
        <v>#N/A</v>
      </c>
      <c r="K399" s="395" t="e">
        <f t="shared" si="305"/>
        <v>#N/A</v>
      </c>
      <c r="L399" s="396"/>
      <c r="M399" s="396"/>
      <c r="N399" s="396"/>
      <c r="O399" s="396"/>
    </row>
    <row r="400" spans="1:15" x14ac:dyDescent="0.2">
      <c r="A400" s="395">
        <v>4</v>
      </c>
      <c r="B400" s="395">
        <v>3</v>
      </c>
      <c r="C400" s="9" t="str">
        <f>IF('Ballot Entry'!M334&lt;&gt;9999,'Ballot Entry'!M334, "")</f>
        <v/>
      </c>
      <c r="D400" s="9" t="str">
        <f>IF('Ballot Entry'!N334&lt;&gt;9999,'Ballot Entry'!N334, "")</f>
        <v/>
      </c>
      <c r="E400" s="9" t="str">
        <f>IF('Ballot Entry'!$M334&lt;&gt;9999,'Ballot Entry'!Q334,"")</f>
        <v/>
      </c>
      <c r="F400" s="9" t="e">
        <f t="shared" si="259"/>
        <v>#N/A</v>
      </c>
      <c r="G400" s="9" t="e">
        <f t="shared" si="252"/>
        <v>#VALUE!</v>
      </c>
      <c r="H400" s="395" t="e">
        <f t="shared" ref="H400:K400" si="306">H366</f>
        <v>#N/A</v>
      </c>
      <c r="I400" s="395" t="e">
        <f t="shared" si="306"/>
        <v>#N/A</v>
      </c>
      <c r="J400" s="395" t="e">
        <f t="shared" si="306"/>
        <v>#N/A</v>
      </c>
      <c r="K400" s="395" t="e">
        <f t="shared" si="306"/>
        <v>#N/A</v>
      </c>
    </row>
    <row r="401" spans="1:15" x14ac:dyDescent="0.2">
      <c r="A401" s="395">
        <v>4</v>
      </c>
      <c r="B401" s="395">
        <v>3</v>
      </c>
      <c r="C401" s="9" t="str">
        <f>IF('Ballot Entry'!M335&lt;&gt;9999,'Ballot Entry'!M335, "")</f>
        <v/>
      </c>
      <c r="D401" s="9" t="str">
        <f>IF('Ballot Entry'!N335&lt;&gt;9999,'Ballot Entry'!N335, "")</f>
        <v/>
      </c>
      <c r="E401" s="9" t="str">
        <f>IF('Ballot Entry'!$M335&lt;&gt;9999,'Ballot Entry'!Q335,"")</f>
        <v/>
      </c>
      <c r="F401" s="9" t="e">
        <f t="shared" si="259"/>
        <v>#N/A</v>
      </c>
      <c r="G401" s="9" t="e">
        <f t="shared" si="252"/>
        <v>#VALUE!</v>
      </c>
      <c r="H401" s="395" t="e">
        <f t="shared" ref="H401:K401" si="307">H367</f>
        <v>#N/A</v>
      </c>
      <c r="I401" s="395" t="e">
        <f t="shared" si="307"/>
        <v>#N/A</v>
      </c>
      <c r="J401" s="395" t="e">
        <f t="shared" si="307"/>
        <v>#N/A</v>
      </c>
      <c r="K401" s="395" t="e">
        <f t="shared" si="307"/>
        <v>#N/A</v>
      </c>
      <c r="O401" s="396"/>
    </row>
    <row r="402" spans="1:15" x14ac:dyDescent="0.2">
      <c r="A402" s="395">
        <v>4</v>
      </c>
      <c r="B402" s="395">
        <v>3</v>
      </c>
      <c r="C402" s="9" t="str">
        <f>IF('Ballot Entry'!M336&lt;&gt;9999,'Ballot Entry'!M336, "")</f>
        <v/>
      </c>
      <c r="D402" s="9" t="str">
        <f>IF('Ballot Entry'!N336&lt;&gt;9999,'Ballot Entry'!N336, "")</f>
        <v/>
      </c>
      <c r="E402" s="9" t="str">
        <f>IF('Ballot Entry'!$M336&lt;&gt;9999,'Ballot Entry'!Q336,"")</f>
        <v/>
      </c>
      <c r="F402" s="9" t="e">
        <f t="shared" si="259"/>
        <v>#N/A</v>
      </c>
      <c r="G402" s="9" t="e">
        <f t="shared" si="252"/>
        <v>#VALUE!</v>
      </c>
      <c r="H402" s="395" t="e">
        <f t="shared" ref="H402:K402" si="308">H368</f>
        <v>#N/A</v>
      </c>
      <c r="I402" s="395" t="e">
        <f t="shared" si="308"/>
        <v>#N/A</v>
      </c>
      <c r="J402" s="395" t="e">
        <f t="shared" si="308"/>
        <v>#N/A</v>
      </c>
      <c r="K402" s="395" t="e">
        <f t="shared" si="308"/>
        <v>#N/A</v>
      </c>
      <c r="L402" s="396"/>
      <c r="M402" s="396"/>
      <c r="N402" s="396"/>
      <c r="O402" s="396"/>
    </row>
    <row r="403" spans="1:15" x14ac:dyDescent="0.2">
      <c r="A403" s="395">
        <v>4</v>
      </c>
      <c r="B403" s="395">
        <v>3</v>
      </c>
      <c r="C403" s="9" t="str">
        <f>IF('Ballot Entry'!M337&lt;&gt;9999,'Ballot Entry'!M337, "")</f>
        <v/>
      </c>
      <c r="D403" s="9" t="str">
        <f>IF('Ballot Entry'!N337&lt;&gt;9999,'Ballot Entry'!N337, "")</f>
        <v/>
      </c>
      <c r="E403" s="9" t="str">
        <f>IF('Ballot Entry'!$M337&lt;&gt;9999,'Ballot Entry'!Q337,"")</f>
        <v/>
      </c>
      <c r="F403" s="9" t="e">
        <f t="shared" si="259"/>
        <v>#N/A</v>
      </c>
      <c r="G403" s="9" t="e">
        <f t="shared" si="252"/>
        <v>#VALUE!</v>
      </c>
      <c r="H403" s="395" t="e">
        <f t="shared" ref="H403:K403" si="309">H369</f>
        <v>#N/A</v>
      </c>
      <c r="I403" s="395" t="e">
        <f t="shared" si="309"/>
        <v>#N/A</v>
      </c>
      <c r="J403" s="395" t="e">
        <f t="shared" si="309"/>
        <v>#N/A</v>
      </c>
      <c r="K403" s="395" t="e">
        <f t="shared" si="309"/>
        <v>#N/A</v>
      </c>
    </row>
    <row r="404" spans="1:15" x14ac:dyDescent="0.2">
      <c r="A404" s="395">
        <v>4</v>
      </c>
      <c r="B404" s="395">
        <v>3</v>
      </c>
      <c r="C404" s="9" t="str">
        <f>IF('Ballot Entry'!M338&lt;&gt;9999,'Ballot Entry'!M338, "")</f>
        <v/>
      </c>
      <c r="D404" s="9" t="str">
        <f>IF('Ballot Entry'!N338&lt;&gt;9999,'Ballot Entry'!N338, "")</f>
        <v/>
      </c>
      <c r="E404" s="9" t="str">
        <f>IF('Ballot Entry'!$M338&lt;&gt;9999,'Ballot Entry'!Q338,"")</f>
        <v/>
      </c>
      <c r="F404" s="9" t="e">
        <f t="shared" si="259"/>
        <v>#N/A</v>
      </c>
      <c r="G404" s="9" t="e">
        <f t="shared" si="252"/>
        <v>#VALUE!</v>
      </c>
      <c r="H404" s="395" t="e">
        <f t="shared" ref="H404:K404" si="310">H370</f>
        <v>#N/A</v>
      </c>
      <c r="I404" s="395" t="e">
        <f t="shared" si="310"/>
        <v>#N/A</v>
      </c>
      <c r="J404" s="395" t="e">
        <f t="shared" si="310"/>
        <v>#N/A</v>
      </c>
      <c r="K404" s="395" t="e">
        <f t="shared" si="310"/>
        <v>#N/A</v>
      </c>
      <c r="O404" s="396"/>
    </row>
    <row r="405" spans="1:15" x14ac:dyDescent="0.2">
      <c r="A405" s="395">
        <v>4</v>
      </c>
      <c r="B405" s="395">
        <v>3</v>
      </c>
      <c r="C405" s="9" t="str">
        <f>IF('Ballot Entry'!M339&lt;&gt;9999,'Ballot Entry'!M339, "")</f>
        <v/>
      </c>
      <c r="D405" s="9" t="str">
        <f>IF('Ballot Entry'!N339&lt;&gt;9999,'Ballot Entry'!N339, "")</f>
        <v/>
      </c>
      <c r="E405" s="9" t="str">
        <f>IF('Ballot Entry'!$M339&lt;&gt;9999,'Ballot Entry'!Q339,"")</f>
        <v/>
      </c>
      <c r="F405" s="9" t="e">
        <f t="shared" si="259"/>
        <v>#N/A</v>
      </c>
      <c r="G405" s="9" t="e">
        <f t="shared" si="252"/>
        <v>#VALUE!</v>
      </c>
      <c r="H405" s="395" t="e">
        <f t="shared" ref="H405:K405" si="311">H371</f>
        <v>#N/A</v>
      </c>
      <c r="I405" s="395" t="e">
        <f t="shared" si="311"/>
        <v>#N/A</v>
      </c>
      <c r="J405" s="395" t="e">
        <f t="shared" si="311"/>
        <v>#N/A</v>
      </c>
      <c r="K405" s="395" t="e">
        <f t="shared" si="311"/>
        <v>#N/A</v>
      </c>
      <c r="L405" s="396"/>
      <c r="M405" s="396"/>
      <c r="N405" s="396"/>
      <c r="O405" s="396"/>
    </row>
    <row r="406" spans="1:15" x14ac:dyDescent="0.2">
      <c r="A406" s="395">
        <v>4</v>
      </c>
      <c r="B406" s="395">
        <v>3</v>
      </c>
      <c r="C406" s="9" t="str">
        <f>IF('Ballot Entry'!M340&lt;&gt;9999,'Ballot Entry'!M340, "")</f>
        <v/>
      </c>
      <c r="D406" s="9" t="str">
        <f>IF('Ballot Entry'!N340&lt;&gt;9999,'Ballot Entry'!N340, "")</f>
        <v/>
      </c>
      <c r="E406" s="9" t="str">
        <f>IF('Ballot Entry'!$M340&lt;&gt;9999,'Ballot Entry'!Q340,"")</f>
        <v/>
      </c>
      <c r="F406" s="9" t="e">
        <f t="shared" si="259"/>
        <v>#N/A</v>
      </c>
      <c r="G406" s="9" t="e">
        <f t="shared" si="252"/>
        <v>#VALUE!</v>
      </c>
      <c r="H406" s="395" t="e">
        <f t="shared" ref="H406:K406" si="312">H372</f>
        <v>#N/A</v>
      </c>
      <c r="I406" s="395" t="e">
        <f t="shared" si="312"/>
        <v>#N/A</v>
      </c>
      <c r="J406" s="395" t="e">
        <f t="shared" si="312"/>
        <v>#N/A</v>
      </c>
      <c r="K406" s="395" t="e">
        <f t="shared" si="312"/>
        <v>#N/A</v>
      </c>
    </row>
    <row r="407" spans="1:15" x14ac:dyDescent="0.2">
      <c r="A407" s="395">
        <v>4</v>
      </c>
      <c r="B407" s="395">
        <v>3</v>
      </c>
      <c r="C407" s="9" t="str">
        <f>IF('Ballot Entry'!M341&lt;&gt;9999,'Ballot Entry'!M341, "")</f>
        <v/>
      </c>
      <c r="D407" s="9" t="str">
        <f>IF('Ballot Entry'!N341&lt;&gt;9999,'Ballot Entry'!N341, "")</f>
        <v/>
      </c>
      <c r="E407" s="9" t="str">
        <f>IF('Ballot Entry'!$M341&lt;&gt;9999,'Ballot Entry'!Q341,"")</f>
        <v/>
      </c>
      <c r="F407" s="9" t="e">
        <f t="shared" ref="F407:F421" si="313">IF(E407="",NA(),IF(E407&gt;0, "P", IF(E407&lt;0,"D", "T")))</f>
        <v>#N/A</v>
      </c>
      <c r="G407" s="9" t="e">
        <f t="shared" ref="G407:G421" si="314">ABS(E407)</f>
        <v>#VALUE!</v>
      </c>
      <c r="H407" s="395" t="e">
        <f t="shared" ref="H407:K407" si="315">H373</f>
        <v>#N/A</v>
      </c>
      <c r="I407" s="395" t="e">
        <f t="shared" si="315"/>
        <v>#N/A</v>
      </c>
      <c r="J407" s="395" t="e">
        <f t="shared" si="315"/>
        <v>#N/A</v>
      </c>
      <c r="K407" s="395" t="e">
        <f t="shared" si="315"/>
        <v>#N/A</v>
      </c>
      <c r="O407" s="396"/>
    </row>
    <row r="408" spans="1:15" x14ac:dyDescent="0.2">
      <c r="A408" s="395">
        <v>4</v>
      </c>
      <c r="B408" s="395">
        <v>3</v>
      </c>
      <c r="C408" s="9" t="str">
        <f>IF('Ballot Entry'!M342&lt;&gt;9999,'Ballot Entry'!M342, "")</f>
        <v/>
      </c>
      <c r="D408" s="9" t="str">
        <f>IF('Ballot Entry'!N342&lt;&gt;9999,'Ballot Entry'!N342, "")</f>
        <v/>
      </c>
      <c r="E408" s="9" t="str">
        <f>IF('Ballot Entry'!$M342&lt;&gt;9999,'Ballot Entry'!Q342,"")</f>
        <v/>
      </c>
      <c r="F408" s="9" t="e">
        <f t="shared" si="313"/>
        <v>#N/A</v>
      </c>
      <c r="G408" s="9" t="e">
        <f t="shared" si="314"/>
        <v>#VALUE!</v>
      </c>
      <c r="H408" s="395" t="e">
        <f t="shared" ref="H408:K408" si="316">H374</f>
        <v>#N/A</v>
      </c>
      <c r="I408" s="395" t="e">
        <f t="shared" si="316"/>
        <v>#N/A</v>
      </c>
      <c r="J408" s="395" t="e">
        <f t="shared" si="316"/>
        <v>#N/A</v>
      </c>
      <c r="K408" s="395" t="e">
        <f t="shared" si="316"/>
        <v>#N/A</v>
      </c>
      <c r="L408" s="396"/>
      <c r="M408" s="396"/>
      <c r="N408" s="396"/>
      <c r="O408" s="396"/>
    </row>
    <row r="409" spans="1:15" x14ac:dyDescent="0.2">
      <c r="A409" s="395">
        <v>4</v>
      </c>
      <c r="B409" s="395">
        <v>3</v>
      </c>
      <c r="C409" s="9" t="str">
        <f>IF('Ballot Entry'!M343&lt;&gt;9999,'Ballot Entry'!M343, "")</f>
        <v/>
      </c>
      <c r="D409" s="9" t="str">
        <f>IF('Ballot Entry'!N343&lt;&gt;9999,'Ballot Entry'!N343, "")</f>
        <v/>
      </c>
      <c r="E409" s="9" t="str">
        <f>IF('Ballot Entry'!$M343&lt;&gt;9999,'Ballot Entry'!Q343,"")</f>
        <v/>
      </c>
      <c r="F409" s="9" t="e">
        <f t="shared" si="313"/>
        <v>#N/A</v>
      </c>
      <c r="G409" s="9" t="e">
        <f t="shared" si="314"/>
        <v>#VALUE!</v>
      </c>
      <c r="H409" s="395" t="e">
        <f t="shared" ref="H409:K409" si="317">H375</f>
        <v>#N/A</v>
      </c>
      <c r="I409" s="395" t="e">
        <f t="shared" si="317"/>
        <v>#N/A</v>
      </c>
      <c r="J409" s="395" t="e">
        <f t="shared" si="317"/>
        <v>#N/A</v>
      </c>
      <c r="K409" s="395" t="e">
        <f t="shared" si="317"/>
        <v>#N/A</v>
      </c>
    </row>
    <row r="410" spans="1:15" x14ac:dyDescent="0.2">
      <c r="A410" s="395">
        <v>4</v>
      </c>
      <c r="B410" s="395">
        <v>3</v>
      </c>
      <c r="C410" s="9" t="str">
        <f>IF('Ballot Entry'!M344&lt;&gt;9999,'Ballot Entry'!M344, "")</f>
        <v/>
      </c>
      <c r="D410" s="9" t="str">
        <f>IF('Ballot Entry'!N344&lt;&gt;9999,'Ballot Entry'!N344, "")</f>
        <v/>
      </c>
      <c r="E410" s="9" t="str">
        <f>IF('Ballot Entry'!$M344&lt;&gt;9999,'Ballot Entry'!Q344,"")</f>
        <v/>
      </c>
      <c r="F410" s="9" t="e">
        <f t="shared" si="313"/>
        <v>#N/A</v>
      </c>
      <c r="G410" s="9" t="e">
        <f t="shared" si="314"/>
        <v>#VALUE!</v>
      </c>
      <c r="H410" s="395" t="e">
        <f t="shared" ref="H410:K410" si="318">H376</f>
        <v>#N/A</v>
      </c>
      <c r="I410" s="395" t="e">
        <f t="shared" si="318"/>
        <v>#N/A</v>
      </c>
      <c r="J410" s="395" t="e">
        <f t="shared" si="318"/>
        <v>#N/A</v>
      </c>
      <c r="K410" s="395" t="e">
        <f t="shared" si="318"/>
        <v>#N/A</v>
      </c>
      <c r="O410" s="396"/>
    </row>
    <row r="411" spans="1:15" x14ac:dyDescent="0.2">
      <c r="A411" s="395">
        <v>4</v>
      </c>
      <c r="B411" s="395">
        <v>3</v>
      </c>
      <c r="C411" s="9" t="str">
        <f>IF('Ballot Entry'!M345&lt;&gt;9999,'Ballot Entry'!M345, "")</f>
        <v/>
      </c>
      <c r="D411" s="9" t="str">
        <f>IF('Ballot Entry'!N345&lt;&gt;9999,'Ballot Entry'!N345, "")</f>
        <v/>
      </c>
      <c r="E411" s="9" t="str">
        <f>IF('Ballot Entry'!$M345&lt;&gt;9999,'Ballot Entry'!Q345,"")</f>
        <v/>
      </c>
      <c r="F411" s="9" t="e">
        <f t="shared" si="313"/>
        <v>#N/A</v>
      </c>
      <c r="G411" s="9" t="e">
        <f t="shared" si="314"/>
        <v>#VALUE!</v>
      </c>
      <c r="H411" s="395" t="e">
        <f t="shared" ref="H411:K411" si="319">H377</f>
        <v>#N/A</v>
      </c>
      <c r="I411" s="395" t="e">
        <f t="shared" si="319"/>
        <v>#N/A</v>
      </c>
      <c r="J411" s="395" t="e">
        <f t="shared" si="319"/>
        <v>#N/A</v>
      </c>
      <c r="K411" s="395" t="e">
        <f t="shared" si="319"/>
        <v>#N/A</v>
      </c>
      <c r="L411" s="396"/>
      <c r="M411" s="396"/>
      <c r="N411" s="396"/>
      <c r="O411" s="396"/>
    </row>
    <row r="412" spans="1:15" x14ac:dyDescent="0.2">
      <c r="A412" s="395">
        <v>4</v>
      </c>
      <c r="B412" s="395">
        <v>3</v>
      </c>
      <c r="C412" s="9" t="str">
        <f>IF('Ballot Entry'!M346&lt;&gt;9999,'Ballot Entry'!M346, "")</f>
        <v/>
      </c>
      <c r="D412" s="9" t="str">
        <f>IF('Ballot Entry'!N346&lt;&gt;9999,'Ballot Entry'!N346, "")</f>
        <v/>
      </c>
      <c r="E412" s="9" t="str">
        <f>IF('Ballot Entry'!$M346&lt;&gt;9999,'Ballot Entry'!Q346,"")</f>
        <v/>
      </c>
      <c r="F412" s="9" t="e">
        <f t="shared" si="313"/>
        <v>#N/A</v>
      </c>
      <c r="G412" s="9" t="e">
        <f t="shared" si="314"/>
        <v>#VALUE!</v>
      </c>
      <c r="H412" s="395" t="e">
        <f t="shared" ref="H412:K412" si="320">H378</f>
        <v>#N/A</v>
      </c>
      <c r="I412" s="395" t="e">
        <f t="shared" si="320"/>
        <v>#N/A</v>
      </c>
      <c r="J412" s="395" t="e">
        <f t="shared" si="320"/>
        <v>#N/A</v>
      </c>
      <c r="K412" s="395" t="e">
        <f t="shared" si="320"/>
        <v>#N/A</v>
      </c>
    </row>
    <row r="413" spans="1:15" x14ac:dyDescent="0.2">
      <c r="A413" s="395">
        <v>4</v>
      </c>
      <c r="B413" s="395">
        <v>3</v>
      </c>
      <c r="C413" s="9" t="str">
        <f>IF('Ballot Entry'!M347&lt;&gt;9999,'Ballot Entry'!M347, "")</f>
        <v/>
      </c>
      <c r="D413" s="9" t="str">
        <f>IF('Ballot Entry'!N347&lt;&gt;9999,'Ballot Entry'!N347, "")</f>
        <v/>
      </c>
      <c r="E413" s="9" t="str">
        <f>IF('Ballot Entry'!$M347&lt;&gt;9999,'Ballot Entry'!Q347,"")</f>
        <v/>
      </c>
      <c r="F413" s="9" t="e">
        <f t="shared" si="313"/>
        <v>#N/A</v>
      </c>
      <c r="G413" s="9" t="e">
        <f t="shared" si="314"/>
        <v>#VALUE!</v>
      </c>
      <c r="H413" s="395" t="e">
        <f t="shared" ref="H413:K413" si="321">H379</f>
        <v>#N/A</v>
      </c>
      <c r="I413" s="395" t="e">
        <f t="shared" si="321"/>
        <v>#N/A</v>
      </c>
      <c r="J413" s="395" t="e">
        <f t="shared" si="321"/>
        <v>#N/A</v>
      </c>
      <c r="K413" s="395" t="e">
        <f t="shared" si="321"/>
        <v>#N/A</v>
      </c>
      <c r="O413" s="396"/>
    </row>
    <row r="414" spans="1:15" x14ac:dyDescent="0.2">
      <c r="A414" s="395">
        <v>4</v>
      </c>
      <c r="B414" s="395">
        <v>3</v>
      </c>
      <c r="C414" s="9" t="str">
        <f>IF('Ballot Entry'!M348&lt;&gt;9999,'Ballot Entry'!M348, "")</f>
        <v/>
      </c>
      <c r="D414" s="9" t="str">
        <f>IF('Ballot Entry'!N348&lt;&gt;9999,'Ballot Entry'!N348, "")</f>
        <v/>
      </c>
      <c r="E414" s="9" t="str">
        <f>IF('Ballot Entry'!$M348&lt;&gt;9999,'Ballot Entry'!Q348,"")</f>
        <v/>
      </c>
      <c r="F414" s="9" t="e">
        <f t="shared" si="313"/>
        <v>#N/A</v>
      </c>
      <c r="G414" s="9" t="e">
        <f t="shared" si="314"/>
        <v>#VALUE!</v>
      </c>
      <c r="H414" s="395" t="e">
        <f t="shared" ref="H414:K414" si="322">H380</f>
        <v>#N/A</v>
      </c>
      <c r="I414" s="395" t="e">
        <f t="shared" si="322"/>
        <v>#N/A</v>
      </c>
      <c r="J414" s="395" t="e">
        <f t="shared" si="322"/>
        <v>#N/A</v>
      </c>
      <c r="K414" s="395" t="e">
        <f t="shared" si="322"/>
        <v>#N/A</v>
      </c>
    </row>
    <row r="415" spans="1:15" x14ac:dyDescent="0.2">
      <c r="A415" s="395">
        <v>4</v>
      </c>
      <c r="B415" s="395">
        <v>3</v>
      </c>
      <c r="C415" s="9" t="str">
        <f>IF('Ballot Entry'!M349&lt;&gt;9999,'Ballot Entry'!M349, "")</f>
        <v/>
      </c>
      <c r="D415" s="9" t="str">
        <f>IF('Ballot Entry'!N349&lt;&gt;9999,'Ballot Entry'!N349, "")</f>
        <v/>
      </c>
      <c r="E415" s="9" t="str">
        <f>IF('Ballot Entry'!$M349&lt;&gt;9999,'Ballot Entry'!Q349,"")</f>
        <v/>
      </c>
      <c r="F415" s="9" t="e">
        <f t="shared" si="313"/>
        <v>#N/A</v>
      </c>
      <c r="G415" s="9" t="e">
        <f t="shared" si="314"/>
        <v>#VALUE!</v>
      </c>
      <c r="H415" s="395" t="e">
        <f t="shared" ref="H415:K415" si="323">H381</f>
        <v>#N/A</v>
      </c>
      <c r="I415" s="395" t="e">
        <f t="shared" si="323"/>
        <v>#N/A</v>
      </c>
      <c r="J415" s="395" t="e">
        <f t="shared" si="323"/>
        <v>#N/A</v>
      </c>
      <c r="K415" s="395" t="e">
        <f t="shared" si="323"/>
        <v>#N/A</v>
      </c>
    </row>
    <row r="416" spans="1:15" x14ac:dyDescent="0.2">
      <c r="A416" s="395">
        <v>4</v>
      </c>
      <c r="B416" s="395">
        <v>3</v>
      </c>
      <c r="C416" s="9" t="str">
        <f>IF('Ballot Entry'!M350&lt;&gt;9999,'Ballot Entry'!M350, "")</f>
        <v/>
      </c>
      <c r="D416" s="9" t="str">
        <f>IF('Ballot Entry'!N350&lt;&gt;9999,'Ballot Entry'!N350, "")</f>
        <v/>
      </c>
      <c r="E416" s="9" t="str">
        <f>IF('Ballot Entry'!$M350&lt;&gt;9999,'Ballot Entry'!Q350,"")</f>
        <v/>
      </c>
      <c r="F416" s="9" t="e">
        <f t="shared" si="313"/>
        <v>#N/A</v>
      </c>
      <c r="G416" s="9" t="e">
        <f t="shared" si="314"/>
        <v>#VALUE!</v>
      </c>
      <c r="H416" s="395" t="e">
        <f t="shared" ref="H416:K416" si="324">H382</f>
        <v>#N/A</v>
      </c>
      <c r="I416" s="395" t="e">
        <f t="shared" si="324"/>
        <v>#N/A</v>
      </c>
      <c r="J416" s="395" t="e">
        <f t="shared" si="324"/>
        <v>#N/A</v>
      </c>
      <c r="K416" s="395" t="e">
        <f t="shared" si="324"/>
        <v>#N/A</v>
      </c>
    </row>
    <row r="417" spans="1:11" x14ac:dyDescent="0.2">
      <c r="A417" s="395">
        <v>4</v>
      </c>
      <c r="B417" s="395">
        <v>3</v>
      </c>
      <c r="C417" s="9" t="str">
        <f>IF('Ballot Entry'!M351&lt;&gt;9999,'Ballot Entry'!M351, "")</f>
        <v/>
      </c>
      <c r="D417" s="9" t="str">
        <f>IF('Ballot Entry'!N351&lt;&gt;9999,'Ballot Entry'!N351, "")</f>
        <v/>
      </c>
      <c r="E417" s="9" t="str">
        <f>IF('Ballot Entry'!$M351&lt;&gt;9999,'Ballot Entry'!Q351,"")</f>
        <v/>
      </c>
      <c r="F417" s="9" t="e">
        <f t="shared" si="313"/>
        <v>#N/A</v>
      </c>
      <c r="G417" s="9" t="e">
        <f t="shared" si="314"/>
        <v>#VALUE!</v>
      </c>
      <c r="H417" s="395" t="e">
        <f t="shared" ref="H417:K417" si="325">H383</f>
        <v>#N/A</v>
      </c>
      <c r="I417" s="395" t="e">
        <f t="shared" si="325"/>
        <v>#N/A</v>
      </c>
      <c r="J417" s="395" t="e">
        <f t="shared" si="325"/>
        <v>#N/A</v>
      </c>
      <c r="K417" s="395" t="e">
        <f t="shared" si="325"/>
        <v>#N/A</v>
      </c>
    </row>
    <row r="418" spans="1:11" x14ac:dyDescent="0.2">
      <c r="A418" s="395">
        <v>4</v>
      </c>
      <c r="B418" s="395">
        <v>3</v>
      </c>
      <c r="C418" s="9" t="str">
        <f>IF('Ballot Entry'!M352&lt;&gt;9999,'Ballot Entry'!M352, "")</f>
        <v/>
      </c>
      <c r="D418" s="9" t="str">
        <f>IF('Ballot Entry'!N352&lt;&gt;9999,'Ballot Entry'!N352, "")</f>
        <v/>
      </c>
      <c r="E418" s="9" t="str">
        <f>IF('Ballot Entry'!$M352&lt;&gt;9999,'Ballot Entry'!Q352,"")</f>
        <v/>
      </c>
      <c r="F418" s="9" t="e">
        <f t="shared" si="313"/>
        <v>#N/A</v>
      </c>
      <c r="G418" s="9" t="e">
        <f t="shared" si="314"/>
        <v>#VALUE!</v>
      </c>
      <c r="H418" s="395" t="e">
        <f t="shared" ref="H418:K418" si="326">H384</f>
        <v>#N/A</v>
      </c>
      <c r="I418" s="395" t="e">
        <f t="shared" si="326"/>
        <v>#N/A</v>
      </c>
      <c r="J418" s="395" t="e">
        <f t="shared" si="326"/>
        <v>#N/A</v>
      </c>
      <c r="K418" s="395" t="e">
        <f t="shared" si="326"/>
        <v>#N/A</v>
      </c>
    </row>
    <row r="419" spans="1:11" x14ac:dyDescent="0.2">
      <c r="A419" s="395">
        <v>4</v>
      </c>
      <c r="B419" s="395">
        <v>3</v>
      </c>
      <c r="C419" s="9" t="str">
        <f>IF('Ballot Entry'!M353&lt;&gt;9999,'Ballot Entry'!M353, "")</f>
        <v/>
      </c>
      <c r="D419" s="9" t="str">
        <f>IF('Ballot Entry'!N353&lt;&gt;9999,'Ballot Entry'!N353, "")</f>
        <v/>
      </c>
      <c r="E419" s="9" t="str">
        <f>IF('Ballot Entry'!$M353&lt;&gt;9999,'Ballot Entry'!Q353,"")</f>
        <v/>
      </c>
      <c r="F419" s="9" t="e">
        <f t="shared" si="313"/>
        <v>#N/A</v>
      </c>
      <c r="G419" s="9" t="e">
        <f t="shared" si="314"/>
        <v>#VALUE!</v>
      </c>
      <c r="H419" s="395" t="e">
        <f t="shared" ref="H419:K419" si="327">H385</f>
        <v>#N/A</v>
      </c>
      <c r="I419" s="395" t="e">
        <f t="shared" si="327"/>
        <v>#N/A</v>
      </c>
      <c r="J419" s="395" t="e">
        <f t="shared" si="327"/>
        <v>#N/A</v>
      </c>
      <c r="K419" s="395" t="e">
        <f t="shared" si="327"/>
        <v>#N/A</v>
      </c>
    </row>
    <row r="420" spans="1:11" x14ac:dyDescent="0.2">
      <c r="A420" s="395">
        <v>4</v>
      </c>
      <c r="B420" s="395">
        <v>3</v>
      </c>
      <c r="C420" s="9" t="str">
        <f>IF('Ballot Entry'!M354&lt;&gt;9999,'Ballot Entry'!M354, "")</f>
        <v/>
      </c>
      <c r="D420" s="9" t="str">
        <f>IF('Ballot Entry'!N354&lt;&gt;9999,'Ballot Entry'!N354, "")</f>
        <v/>
      </c>
      <c r="E420" s="9" t="str">
        <f>IF('Ballot Entry'!$M354&lt;&gt;9999,'Ballot Entry'!Q354,"")</f>
        <v/>
      </c>
      <c r="F420" s="9" t="e">
        <f t="shared" si="313"/>
        <v>#N/A</v>
      </c>
      <c r="G420" s="9" t="e">
        <f t="shared" si="314"/>
        <v>#VALUE!</v>
      </c>
      <c r="H420" s="395" t="e">
        <f t="shared" ref="H420:K420" si="328">H386</f>
        <v>#N/A</v>
      </c>
      <c r="I420" s="395" t="e">
        <f t="shared" si="328"/>
        <v>#N/A</v>
      </c>
      <c r="J420" s="395" t="e">
        <f t="shared" si="328"/>
        <v>#N/A</v>
      </c>
      <c r="K420" s="395" t="e">
        <f t="shared" si="328"/>
        <v>#N/A</v>
      </c>
    </row>
    <row r="421" spans="1:11" x14ac:dyDescent="0.2">
      <c r="A421" s="395">
        <v>4</v>
      </c>
      <c r="B421" s="395">
        <v>3</v>
      </c>
      <c r="C421" s="9" t="str">
        <f>IF('Ballot Entry'!M355&lt;&gt;9999,'Ballot Entry'!M355, "")</f>
        <v/>
      </c>
      <c r="D421" s="9" t="str">
        <f>IF('Ballot Entry'!N355&lt;&gt;9999,'Ballot Entry'!N355, "")</f>
        <v/>
      </c>
      <c r="E421" s="9" t="str">
        <f>IF('Ballot Entry'!$M355&lt;&gt;9999,'Ballot Entry'!Q355,"")</f>
        <v/>
      </c>
      <c r="F421" s="9" t="e">
        <f t="shared" si="313"/>
        <v>#N/A</v>
      </c>
      <c r="G421" s="9" t="e">
        <f t="shared" si="314"/>
        <v>#VALUE!</v>
      </c>
      <c r="H421" s="395" t="e">
        <f t="shared" ref="H421:K421" si="329">H387</f>
        <v>#N/A</v>
      </c>
      <c r="I421" s="395" t="e">
        <f t="shared" si="329"/>
        <v>#N/A</v>
      </c>
      <c r="J421" s="395" t="e">
        <f t="shared" si="329"/>
        <v>#N/A</v>
      </c>
      <c r="K421" s="395" t="e">
        <f t="shared" si="329"/>
        <v>#N/A</v>
      </c>
    </row>
  </sheetData>
  <autoFilter ref="A1:K406" xr:uid="{00000000-0009-0000-0000-000009000000}"/>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87"/>
  <sheetViews>
    <sheetView showGridLines="0" topLeftCell="B1" workbookViewId="0">
      <pane ySplit="14" topLeftCell="A15" activePane="bottomLeft" state="frozen"/>
      <selection activeCell="I423" sqref="A1:AR425"/>
      <selection pane="bottomLeft" activeCell="I4" sqref="I4"/>
    </sheetView>
  </sheetViews>
  <sheetFormatPr defaultColWidth="8.85546875" defaultRowHeight="12.75" x14ac:dyDescent="0.2"/>
  <cols>
    <col min="1" max="1" width="13.140625" style="19" customWidth="1"/>
    <col min="2" max="2" width="31.42578125" style="19" customWidth="1"/>
    <col min="3" max="3" width="9.7109375" style="19" bestFit="1" customWidth="1"/>
    <col min="4" max="4" width="18.85546875" style="19" customWidth="1"/>
    <col min="5" max="5" width="16.140625" style="19" customWidth="1"/>
    <col min="6" max="7" width="18.85546875" style="19" customWidth="1"/>
    <col min="8" max="8" width="14" style="19" customWidth="1"/>
    <col min="9" max="9" width="18.85546875" style="19" customWidth="1"/>
    <col min="10" max="10" width="16.85546875" style="19" bestFit="1" customWidth="1"/>
    <col min="11" max="19" width="14" style="19" customWidth="1"/>
    <col min="20" max="16384" width="8.85546875" style="19"/>
  </cols>
  <sheetData>
    <row r="1" spans="1:19" x14ac:dyDescent="0.2">
      <c r="L1" s="231" t="s">
        <v>217</v>
      </c>
    </row>
    <row r="2" spans="1:19" ht="26.25" x14ac:dyDescent="0.2">
      <c r="A2" s="2" t="s">
        <v>21</v>
      </c>
      <c r="H2" s="2" t="s">
        <v>134</v>
      </c>
      <c r="L2" s="231" t="s">
        <v>218</v>
      </c>
    </row>
    <row r="3" spans="1:19" x14ac:dyDescent="0.2">
      <c r="A3" s="141" t="s">
        <v>0</v>
      </c>
      <c r="B3" s="412" t="s">
        <v>423</v>
      </c>
      <c r="C3" s="412"/>
      <c r="E3" s="141" t="s">
        <v>6</v>
      </c>
      <c r="F3" s="239">
        <v>18</v>
      </c>
      <c r="H3" s="141" t="s">
        <v>216</v>
      </c>
      <c r="I3" s="414" t="s">
        <v>217</v>
      </c>
      <c r="J3" s="414"/>
      <c r="L3" s="232" t="s">
        <v>219</v>
      </c>
    </row>
    <row r="4" spans="1:19" x14ac:dyDescent="0.2">
      <c r="A4" s="141" t="s">
        <v>1</v>
      </c>
      <c r="B4" s="413" t="s">
        <v>481</v>
      </c>
      <c r="C4" s="413"/>
      <c r="E4" s="141" t="s">
        <v>32</v>
      </c>
      <c r="F4" s="239">
        <v>2</v>
      </c>
      <c r="H4" s="141" t="s">
        <v>41</v>
      </c>
      <c r="I4" s="291"/>
      <c r="J4" s="291"/>
    </row>
    <row r="5" spans="1:19" x14ac:dyDescent="0.2">
      <c r="A5" s="141" t="s">
        <v>2</v>
      </c>
      <c r="B5" s="413" t="s">
        <v>424</v>
      </c>
      <c r="C5" s="413"/>
      <c r="E5" s="141" t="s">
        <v>79</v>
      </c>
      <c r="F5" s="239">
        <v>5</v>
      </c>
      <c r="H5" s="141" t="s">
        <v>42</v>
      </c>
      <c r="I5" s="291"/>
      <c r="J5" s="291"/>
    </row>
    <row r="6" spans="1:19" x14ac:dyDescent="0.2">
      <c r="A6" s="141" t="s">
        <v>3</v>
      </c>
      <c r="B6" s="413" t="s">
        <v>425</v>
      </c>
      <c r="C6" s="413"/>
      <c r="E6" s="141" t="s">
        <v>80</v>
      </c>
      <c r="F6" s="239">
        <v>0</v>
      </c>
      <c r="H6" s="141" t="s">
        <v>42</v>
      </c>
      <c r="I6" s="305"/>
      <c r="J6" s="305"/>
    </row>
    <row r="7" spans="1:19" x14ac:dyDescent="0.2">
      <c r="E7" s="141" t="s">
        <v>329</v>
      </c>
      <c r="F7" s="341">
        <v>20</v>
      </c>
      <c r="H7" s="33" t="s">
        <v>136</v>
      </c>
    </row>
    <row r="8" spans="1:19" x14ac:dyDescent="0.2">
      <c r="H8" s="141" t="s">
        <v>81</v>
      </c>
      <c r="I8" s="291"/>
      <c r="J8" s="140"/>
    </row>
    <row r="9" spans="1:19" x14ac:dyDescent="0.2">
      <c r="H9" s="141" t="s">
        <v>82</v>
      </c>
      <c r="I9" s="291"/>
      <c r="J9" s="140"/>
    </row>
    <row r="10" spans="1:19" x14ac:dyDescent="0.2">
      <c r="H10" s="141" t="s">
        <v>83</v>
      </c>
      <c r="I10" s="291"/>
      <c r="J10" s="140"/>
    </row>
    <row r="12" spans="1:19" ht="26.25" x14ac:dyDescent="0.2">
      <c r="B12" s="2" t="s">
        <v>22</v>
      </c>
    </row>
    <row r="13" spans="1:19" x14ac:dyDescent="0.2">
      <c r="B13" s="233"/>
      <c r="C13" s="3"/>
      <c r="D13" s="234" t="s">
        <v>4</v>
      </c>
      <c r="E13" s="3"/>
      <c r="F13" s="3"/>
      <c r="G13" s="234" t="s">
        <v>10</v>
      </c>
      <c r="H13" s="3"/>
      <c r="I13" s="3"/>
      <c r="J13" s="143" t="s">
        <v>5</v>
      </c>
    </row>
    <row r="14" spans="1:19" x14ac:dyDescent="0.2">
      <c r="B14" s="249" t="s">
        <v>7</v>
      </c>
      <c r="C14" s="249" t="s">
        <v>8</v>
      </c>
      <c r="D14" s="250" t="s">
        <v>9</v>
      </c>
      <c r="E14" s="249" t="s">
        <v>222</v>
      </c>
      <c r="F14" s="249" t="s">
        <v>223</v>
      </c>
      <c r="G14" s="250" t="s">
        <v>9</v>
      </c>
      <c r="H14" s="249" t="s">
        <v>222</v>
      </c>
      <c r="I14" s="249" t="s">
        <v>223</v>
      </c>
      <c r="J14" s="251" t="s">
        <v>11</v>
      </c>
      <c r="K14" s="252" t="s">
        <v>12</v>
      </c>
      <c r="L14" s="252" t="s">
        <v>13</v>
      </c>
      <c r="M14" s="252" t="s">
        <v>14</v>
      </c>
      <c r="N14" s="252" t="s">
        <v>15</v>
      </c>
      <c r="O14" s="252" t="s">
        <v>16</v>
      </c>
      <c r="P14" s="252" t="s">
        <v>17</v>
      </c>
      <c r="Q14" s="252" t="s">
        <v>18</v>
      </c>
      <c r="R14" s="252" t="s">
        <v>19</v>
      </c>
      <c r="S14" s="252" t="s">
        <v>20</v>
      </c>
    </row>
    <row r="15" spans="1:19" ht="13.5" thickBot="1" x14ac:dyDescent="0.25">
      <c r="A15" s="4">
        <f>TeamTrackApply</f>
        <v>1</v>
      </c>
      <c r="B15" s="400" t="s">
        <v>426</v>
      </c>
      <c r="C15" s="401">
        <v>1001</v>
      </c>
      <c r="D15" s="293"/>
      <c r="E15" s="294"/>
      <c r="F15" s="295"/>
      <c r="G15" s="293"/>
      <c r="H15" s="293"/>
      <c r="I15" s="293"/>
      <c r="J15" s="293"/>
      <c r="K15" s="293"/>
      <c r="L15" s="293"/>
      <c r="M15" s="293"/>
      <c r="N15" s="293"/>
      <c r="O15" s="293"/>
      <c r="P15" s="293"/>
      <c r="Q15" s="293"/>
      <c r="R15" s="293"/>
      <c r="S15" s="293"/>
    </row>
    <row r="16" spans="1:19" ht="14.25" thickTop="1" thickBot="1" x14ac:dyDescent="0.25">
      <c r="A16" s="4">
        <f>TeamTrackApply</f>
        <v>2</v>
      </c>
      <c r="B16" s="400" t="s">
        <v>427</v>
      </c>
      <c r="C16" s="401">
        <v>1029</v>
      </c>
      <c r="D16" s="296"/>
      <c r="E16" s="297"/>
      <c r="F16" s="298"/>
      <c r="G16" s="296"/>
      <c r="H16" s="296"/>
      <c r="I16" s="296"/>
      <c r="J16" s="296"/>
      <c r="K16" s="296"/>
      <c r="L16" s="296"/>
      <c r="M16" s="296"/>
      <c r="N16" s="296"/>
      <c r="O16" s="296"/>
      <c r="P16" s="296"/>
      <c r="Q16" s="296"/>
      <c r="R16" s="296"/>
      <c r="S16" s="296"/>
    </row>
    <row r="17" spans="1:19" ht="14.25" thickTop="1" thickBot="1" x14ac:dyDescent="0.25">
      <c r="A17" s="4">
        <f>TeamTrackApply</f>
        <v>3</v>
      </c>
      <c r="B17" s="400" t="s">
        <v>428</v>
      </c>
      <c r="C17" s="401">
        <v>1051</v>
      </c>
      <c r="D17" s="296"/>
      <c r="E17" s="297"/>
      <c r="F17" s="298"/>
      <c r="G17" s="296"/>
      <c r="H17" s="296"/>
      <c r="I17" s="296"/>
      <c r="J17" s="296"/>
      <c r="K17" s="296"/>
      <c r="L17" s="296"/>
      <c r="M17" s="296"/>
      <c r="N17" s="296"/>
      <c r="O17" s="296"/>
      <c r="P17" s="296"/>
      <c r="Q17" s="296"/>
      <c r="R17" s="296"/>
      <c r="S17" s="296"/>
    </row>
    <row r="18" spans="1:19" ht="14.25" thickTop="1" thickBot="1" x14ac:dyDescent="0.25">
      <c r="A18" s="4">
        <f>TeamTrackApply</f>
        <v>4</v>
      </c>
      <c r="B18" s="400" t="s">
        <v>429</v>
      </c>
      <c r="C18" s="401">
        <v>1078</v>
      </c>
      <c r="D18" s="296"/>
      <c r="E18" s="297"/>
      <c r="F18" s="298"/>
      <c r="G18" s="296"/>
      <c r="H18" s="296"/>
      <c r="I18" s="296"/>
      <c r="J18" s="296"/>
      <c r="K18" s="296"/>
      <c r="L18" s="296"/>
      <c r="M18" s="296"/>
      <c r="N18" s="296"/>
      <c r="O18" s="296"/>
      <c r="P18" s="296"/>
      <c r="Q18" s="296"/>
      <c r="R18" s="296"/>
      <c r="S18" s="296"/>
    </row>
    <row r="19" spans="1:19" ht="14.25" thickTop="1" thickBot="1" x14ac:dyDescent="0.25">
      <c r="A19" s="4">
        <f>TeamTrackApply</f>
        <v>5</v>
      </c>
      <c r="B19" s="400" t="s">
        <v>430</v>
      </c>
      <c r="C19" s="401">
        <v>1217</v>
      </c>
      <c r="D19" s="296"/>
      <c r="E19" s="297"/>
      <c r="F19" s="298"/>
      <c r="G19" s="296"/>
      <c r="H19" s="296"/>
      <c r="I19" s="296"/>
      <c r="J19" s="296"/>
      <c r="K19" s="296"/>
      <c r="L19" s="296"/>
      <c r="M19" s="296"/>
      <c r="N19" s="296"/>
      <c r="O19" s="296"/>
      <c r="P19" s="296"/>
      <c r="Q19" s="296"/>
      <c r="R19" s="296"/>
      <c r="S19" s="296"/>
    </row>
    <row r="20" spans="1:19" ht="14.25" thickTop="1" thickBot="1" x14ac:dyDescent="0.25">
      <c r="A20" s="4">
        <f>TeamTrackApply</f>
        <v>6</v>
      </c>
      <c r="B20" s="400" t="s">
        <v>431</v>
      </c>
      <c r="C20" s="401">
        <v>1224</v>
      </c>
      <c r="D20" s="296"/>
      <c r="E20" s="297"/>
      <c r="F20" s="298"/>
      <c r="G20" s="296"/>
      <c r="H20" s="296"/>
      <c r="I20" s="296"/>
      <c r="J20" s="296"/>
      <c r="K20" s="296"/>
      <c r="L20" s="296"/>
      <c r="M20" s="296"/>
      <c r="N20" s="296"/>
      <c r="O20" s="296"/>
      <c r="P20" s="296"/>
      <c r="Q20" s="296"/>
      <c r="R20" s="296"/>
      <c r="S20" s="296"/>
    </row>
    <row r="21" spans="1:19" ht="14.25" thickTop="1" thickBot="1" x14ac:dyDescent="0.25">
      <c r="A21" s="4">
        <f>TeamTrackApply</f>
        <v>7</v>
      </c>
      <c r="B21" s="400" t="s">
        <v>432</v>
      </c>
      <c r="C21" s="401">
        <v>1258</v>
      </c>
      <c r="D21" s="296"/>
      <c r="E21" s="297"/>
      <c r="F21" s="298"/>
      <c r="G21" s="296"/>
      <c r="H21" s="296"/>
      <c r="I21" s="296"/>
      <c r="J21" s="296"/>
      <c r="K21" s="296"/>
      <c r="L21" s="296"/>
      <c r="M21" s="296"/>
      <c r="N21" s="296"/>
      <c r="O21" s="296"/>
      <c r="P21" s="296"/>
      <c r="Q21" s="296"/>
      <c r="R21" s="296"/>
      <c r="S21" s="296"/>
    </row>
    <row r="22" spans="1:19" ht="14.25" thickTop="1" thickBot="1" x14ac:dyDescent="0.25">
      <c r="A22" s="4">
        <f>TeamTrackApply</f>
        <v>8</v>
      </c>
      <c r="B22" s="400" t="s">
        <v>433</v>
      </c>
      <c r="C22" s="401">
        <v>1262</v>
      </c>
      <c r="D22" s="296"/>
      <c r="E22" s="297"/>
      <c r="F22" s="298"/>
      <c r="G22" s="296"/>
      <c r="H22" s="296"/>
      <c r="I22" s="296"/>
      <c r="J22" s="296"/>
      <c r="K22" s="296"/>
      <c r="L22" s="296"/>
      <c r="M22" s="296"/>
      <c r="N22" s="296"/>
      <c r="O22" s="296"/>
      <c r="P22" s="296"/>
      <c r="Q22" s="296"/>
      <c r="R22" s="296"/>
      <c r="S22" s="296"/>
    </row>
    <row r="23" spans="1:19" ht="14.25" thickTop="1" thickBot="1" x14ac:dyDescent="0.25">
      <c r="A23" s="4">
        <f>TeamTrackApply</f>
        <v>9</v>
      </c>
      <c r="B23" s="400" t="s">
        <v>434</v>
      </c>
      <c r="C23" s="401">
        <v>1268</v>
      </c>
      <c r="D23" s="296"/>
      <c r="E23" s="297"/>
      <c r="F23" s="298"/>
      <c r="G23" s="296"/>
      <c r="H23" s="296"/>
      <c r="I23" s="296"/>
      <c r="J23" s="296"/>
      <c r="K23" s="296"/>
      <c r="L23" s="296"/>
      <c r="M23" s="296"/>
      <c r="N23" s="296"/>
      <c r="O23" s="296"/>
      <c r="P23" s="296"/>
      <c r="Q23" s="296"/>
      <c r="R23" s="296"/>
      <c r="S23" s="296"/>
    </row>
    <row r="24" spans="1:19" ht="14.25" thickTop="1" thickBot="1" x14ac:dyDescent="0.25">
      <c r="A24" s="4">
        <f>TeamTrackApply</f>
        <v>10</v>
      </c>
      <c r="B24" s="400" t="s">
        <v>435</v>
      </c>
      <c r="C24" s="401">
        <v>1410</v>
      </c>
      <c r="D24" s="296"/>
      <c r="E24" s="297"/>
      <c r="F24" s="298"/>
      <c r="G24" s="296"/>
      <c r="H24" s="296"/>
      <c r="I24" s="296"/>
      <c r="J24" s="296"/>
      <c r="K24" s="296"/>
      <c r="L24" s="296"/>
      <c r="M24" s="296"/>
      <c r="N24" s="296"/>
      <c r="O24" s="296"/>
      <c r="P24" s="296"/>
      <c r="Q24" s="296"/>
      <c r="R24" s="296"/>
      <c r="S24" s="296"/>
    </row>
    <row r="25" spans="1:19" ht="14.25" thickTop="1" thickBot="1" x14ac:dyDescent="0.25">
      <c r="A25" s="4">
        <f>TeamTrackApply</f>
        <v>11</v>
      </c>
      <c r="B25" s="400" t="s">
        <v>436</v>
      </c>
      <c r="C25" s="401">
        <v>1489</v>
      </c>
      <c r="D25" s="296"/>
      <c r="E25" s="297"/>
      <c r="F25" s="298"/>
      <c r="G25" s="296"/>
      <c r="H25" s="296"/>
      <c r="I25" s="296"/>
      <c r="J25" s="296"/>
      <c r="K25" s="296"/>
      <c r="L25" s="296"/>
      <c r="M25" s="296"/>
      <c r="N25" s="296"/>
      <c r="O25" s="296"/>
      <c r="P25" s="296"/>
      <c r="Q25" s="296"/>
      <c r="R25" s="296"/>
      <c r="S25" s="296"/>
    </row>
    <row r="26" spans="1:19" ht="14.25" thickTop="1" thickBot="1" x14ac:dyDescent="0.25">
      <c r="A26" s="4">
        <f>TeamTrackApply</f>
        <v>12</v>
      </c>
      <c r="B26" s="400" t="s">
        <v>437</v>
      </c>
      <c r="C26" s="401">
        <v>1492</v>
      </c>
      <c r="D26" s="296"/>
      <c r="E26" s="297"/>
      <c r="F26" s="298"/>
      <c r="G26" s="296"/>
      <c r="H26" s="296"/>
      <c r="I26" s="296"/>
      <c r="J26" s="296"/>
      <c r="K26" s="296"/>
      <c r="L26" s="296"/>
      <c r="M26" s="296"/>
      <c r="N26" s="296"/>
      <c r="O26" s="296"/>
      <c r="P26" s="296"/>
      <c r="Q26" s="296"/>
      <c r="R26" s="296"/>
      <c r="S26" s="296"/>
    </row>
    <row r="27" spans="1:19" ht="14.25" thickTop="1" thickBot="1" x14ac:dyDescent="0.25">
      <c r="A27" s="4">
        <f>TeamTrackApply</f>
        <v>13</v>
      </c>
      <c r="B27" s="400" t="s">
        <v>438</v>
      </c>
      <c r="C27" s="401">
        <v>1506</v>
      </c>
      <c r="D27" s="296"/>
      <c r="E27" s="297"/>
      <c r="F27" s="298"/>
      <c r="G27" s="296"/>
      <c r="H27" s="296"/>
      <c r="I27" s="296"/>
      <c r="J27" s="296"/>
      <c r="K27" s="296"/>
      <c r="L27" s="296"/>
      <c r="M27" s="296"/>
      <c r="N27" s="296"/>
      <c r="O27" s="296"/>
      <c r="P27" s="296"/>
      <c r="Q27" s="296"/>
      <c r="R27" s="296"/>
      <c r="S27" s="296"/>
    </row>
    <row r="28" spans="1:19" ht="14.25" thickTop="1" thickBot="1" x14ac:dyDescent="0.25">
      <c r="A28" s="4">
        <f>TeamTrackApply</f>
        <v>14</v>
      </c>
      <c r="B28" s="400" t="s">
        <v>439</v>
      </c>
      <c r="C28" s="401">
        <v>1517</v>
      </c>
      <c r="D28" s="296"/>
      <c r="E28" s="297"/>
      <c r="F28" s="298"/>
      <c r="G28" s="296"/>
      <c r="H28" s="296"/>
      <c r="I28" s="296"/>
      <c r="J28" s="296"/>
      <c r="K28" s="296"/>
      <c r="L28" s="296"/>
      <c r="M28" s="296"/>
      <c r="N28" s="296"/>
      <c r="O28" s="296"/>
      <c r="P28" s="296"/>
      <c r="Q28" s="296"/>
      <c r="R28" s="296"/>
      <c r="S28" s="296"/>
    </row>
    <row r="29" spans="1:19" ht="14.25" thickTop="1" thickBot="1" x14ac:dyDescent="0.25">
      <c r="A29" s="4">
        <f>TeamTrackApply</f>
        <v>15</v>
      </c>
      <c r="B29" s="400" t="s">
        <v>440</v>
      </c>
      <c r="C29" s="401">
        <v>1557</v>
      </c>
      <c r="D29" s="296"/>
      <c r="E29" s="297"/>
      <c r="F29" s="298"/>
      <c r="G29" s="296"/>
      <c r="H29" s="296"/>
      <c r="I29" s="296"/>
      <c r="J29" s="296"/>
      <c r="K29" s="296"/>
      <c r="L29" s="296"/>
      <c r="M29" s="296"/>
      <c r="N29" s="296"/>
      <c r="O29" s="296"/>
      <c r="P29" s="296"/>
      <c r="Q29" s="296"/>
      <c r="R29" s="296"/>
      <c r="S29" s="296"/>
    </row>
    <row r="30" spans="1:19" ht="14.25" thickTop="1" thickBot="1" x14ac:dyDescent="0.25">
      <c r="A30" s="4">
        <f>TeamTrackApply</f>
        <v>16</v>
      </c>
      <c r="B30" s="400" t="s">
        <v>441</v>
      </c>
      <c r="C30" s="401">
        <v>1577</v>
      </c>
      <c r="D30" s="296"/>
      <c r="E30" s="297"/>
      <c r="F30" s="298"/>
      <c r="G30" s="296"/>
      <c r="H30" s="296"/>
      <c r="I30" s="296"/>
      <c r="J30" s="296"/>
      <c r="K30" s="296"/>
      <c r="L30" s="296"/>
      <c r="M30" s="296"/>
      <c r="N30" s="296"/>
      <c r="O30" s="296"/>
      <c r="P30" s="296"/>
      <c r="Q30" s="296"/>
      <c r="R30" s="296"/>
      <c r="S30" s="296"/>
    </row>
    <row r="31" spans="1:19" ht="14.25" thickTop="1" thickBot="1" x14ac:dyDescent="0.25">
      <c r="A31" s="4">
        <f>TeamTrackApply</f>
        <v>17</v>
      </c>
      <c r="B31" s="400" t="s">
        <v>442</v>
      </c>
      <c r="C31" s="401">
        <v>1616</v>
      </c>
      <c r="D31" s="296"/>
      <c r="E31" s="297"/>
      <c r="F31" s="298"/>
      <c r="G31" s="296"/>
      <c r="H31" s="296"/>
      <c r="I31" s="296"/>
      <c r="J31" s="296"/>
      <c r="K31" s="296"/>
      <c r="L31" s="296"/>
      <c r="M31" s="296"/>
      <c r="N31" s="296"/>
      <c r="O31" s="296"/>
      <c r="P31" s="296"/>
      <c r="Q31" s="296"/>
      <c r="R31" s="296"/>
      <c r="S31" s="296"/>
    </row>
    <row r="32" spans="1:19" ht="14.25" thickTop="1" thickBot="1" x14ac:dyDescent="0.25">
      <c r="A32" s="4">
        <f>TeamTrackApply</f>
        <v>18</v>
      </c>
      <c r="B32" s="400" t="s">
        <v>443</v>
      </c>
      <c r="C32" s="401">
        <v>1693</v>
      </c>
      <c r="D32" s="296"/>
      <c r="E32" s="297"/>
      <c r="F32" s="298"/>
      <c r="G32" s="296"/>
      <c r="H32" s="296"/>
      <c r="I32" s="296"/>
      <c r="J32" s="296"/>
      <c r="K32" s="296"/>
      <c r="L32" s="296"/>
      <c r="M32" s="296"/>
      <c r="N32" s="296"/>
      <c r="O32" s="296"/>
      <c r="P32" s="296"/>
      <c r="Q32" s="296"/>
      <c r="R32" s="296"/>
      <c r="S32" s="296"/>
    </row>
    <row r="33" spans="1:19" ht="14.25" thickTop="1" thickBot="1" x14ac:dyDescent="0.25">
      <c r="A33" s="4" t="str">
        <f>TeamTrackApply</f>
        <v/>
      </c>
      <c r="B33" s="400"/>
      <c r="C33" s="401"/>
      <c r="D33" s="296"/>
      <c r="E33" s="297"/>
      <c r="F33" s="298"/>
      <c r="G33" s="296"/>
      <c r="H33" s="296"/>
      <c r="I33" s="296"/>
      <c r="J33" s="296"/>
      <c r="K33" s="296"/>
      <c r="L33" s="296"/>
      <c r="M33" s="296"/>
      <c r="N33" s="296"/>
      <c r="O33" s="296"/>
      <c r="P33" s="296"/>
      <c r="Q33" s="296"/>
      <c r="R33" s="296"/>
      <c r="S33" s="296"/>
    </row>
    <row r="34" spans="1:19" ht="14.25" thickTop="1" thickBot="1" x14ac:dyDescent="0.25">
      <c r="A34" s="4" t="str">
        <f>TeamTrackApply</f>
        <v/>
      </c>
      <c r="B34" s="400"/>
      <c r="C34" s="401"/>
      <c r="D34" s="296"/>
      <c r="E34" s="297"/>
      <c r="F34" s="298"/>
      <c r="G34" s="296"/>
      <c r="H34" s="296"/>
      <c r="I34" s="296"/>
      <c r="J34" s="296"/>
      <c r="K34" s="296"/>
      <c r="L34" s="296"/>
      <c r="M34" s="296"/>
      <c r="N34" s="296"/>
      <c r="O34" s="296"/>
      <c r="P34" s="296"/>
      <c r="Q34" s="296"/>
      <c r="R34" s="296"/>
      <c r="S34" s="296"/>
    </row>
    <row r="35" spans="1:19" ht="14.25" thickTop="1" thickBot="1" x14ac:dyDescent="0.25">
      <c r="A35" s="4" t="str">
        <f>TeamTrackApply</f>
        <v/>
      </c>
      <c r="B35" s="400"/>
      <c r="C35" s="401"/>
      <c r="D35" s="296"/>
      <c r="E35" s="297"/>
      <c r="F35" s="298"/>
      <c r="G35" s="296"/>
      <c r="H35" s="296"/>
      <c r="I35" s="296"/>
      <c r="J35" s="296"/>
      <c r="K35" s="296"/>
      <c r="L35" s="296"/>
      <c r="M35" s="296"/>
      <c r="N35" s="296"/>
      <c r="O35" s="296"/>
      <c r="P35" s="296"/>
      <c r="Q35" s="296"/>
      <c r="R35" s="296"/>
      <c r="S35" s="296"/>
    </row>
    <row r="36" spans="1:19" ht="14.25" thickTop="1" thickBot="1" x14ac:dyDescent="0.25">
      <c r="A36" s="4" t="str">
        <f>TeamTrackApply</f>
        <v/>
      </c>
      <c r="B36" s="400"/>
      <c r="C36" s="401"/>
      <c r="D36" s="296"/>
      <c r="E36" s="297"/>
      <c r="F36" s="298"/>
      <c r="G36" s="296"/>
      <c r="H36" s="296"/>
      <c r="I36" s="296"/>
      <c r="J36" s="296"/>
      <c r="K36" s="296"/>
      <c r="L36" s="296"/>
      <c r="M36" s="296"/>
      <c r="N36" s="296"/>
      <c r="O36" s="296"/>
      <c r="P36" s="296"/>
      <c r="Q36" s="296"/>
      <c r="R36" s="296"/>
      <c r="S36" s="296"/>
    </row>
    <row r="37" spans="1:19" ht="14.25" thickTop="1" thickBot="1" x14ac:dyDescent="0.25">
      <c r="A37" s="4" t="str">
        <f>TeamTrackApply</f>
        <v/>
      </c>
      <c r="B37" s="400"/>
      <c r="C37" s="401"/>
      <c r="D37" s="296"/>
      <c r="E37" s="297"/>
      <c r="F37" s="298"/>
      <c r="G37" s="296"/>
      <c r="H37" s="296"/>
      <c r="I37" s="296"/>
      <c r="J37" s="296"/>
      <c r="K37" s="296"/>
      <c r="L37" s="296"/>
      <c r="M37" s="296"/>
      <c r="N37" s="296"/>
      <c r="O37" s="296"/>
      <c r="P37" s="296"/>
      <c r="Q37" s="296"/>
      <c r="R37" s="296"/>
      <c r="S37" s="296"/>
    </row>
    <row r="38" spans="1:19" ht="14.25" thickTop="1" thickBot="1" x14ac:dyDescent="0.25">
      <c r="A38" s="4" t="str">
        <f>TeamTrackApply</f>
        <v/>
      </c>
      <c r="B38" s="400"/>
      <c r="C38" s="401"/>
      <c r="D38" s="296"/>
      <c r="E38" s="297"/>
      <c r="F38" s="298"/>
      <c r="G38" s="296"/>
      <c r="H38" s="296"/>
      <c r="I38" s="296"/>
      <c r="J38" s="296"/>
      <c r="K38" s="296"/>
      <c r="L38" s="296"/>
      <c r="M38" s="296"/>
      <c r="N38" s="296"/>
      <c r="O38" s="296"/>
      <c r="P38" s="296"/>
      <c r="Q38" s="296"/>
      <c r="R38" s="296"/>
      <c r="S38" s="296"/>
    </row>
    <row r="39" spans="1:19" ht="14.25" thickTop="1" thickBot="1" x14ac:dyDescent="0.25">
      <c r="A39" s="4" t="str">
        <f>TeamTrackApply</f>
        <v/>
      </c>
      <c r="B39" s="400"/>
      <c r="C39" s="401"/>
      <c r="D39" s="296"/>
      <c r="E39" s="297"/>
      <c r="F39" s="298"/>
      <c r="G39" s="296"/>
      <c r="H39" s="296"/>
      <c r="I39" s="296"/>
      <c r="J39" s="296"/>
      <c r="K39" s="296"/>
      <c r="L39" s="296"/>
      <c r="M39" s="296"/>
      <c r="N39" s="296"/>
      <c r="O39" s="296"/>
      <c r="P39" s="296"/>
      <c r="Q39" s="296"/>
      <c r="R39" s="296"/>
      <c r="S39" s="296"/>
    </row>
    <row r="40" spans="1:19" ht="14.25" thickTop="1" thickBot="1" x14ac:dyDescent="0.25">
      <c r="A40" s="4" t="str">
        <f>TeamTrackApply</f>
        <v/>
      </c>
      <c r="B40" s="400"/>
      <c r="C40" s="401"/>
      <c r="D40" s="296"/>
      <c r="E40" s="297"/>
      <c r="F40" s="298"/>
      <c r="G40" s="296"/>
      <c r="H40" s="296"/>
      <c r="I40" s="296"/>
      <c r="J40" s="296"/>
      <c r="K40" s="296"/>
      <c r="L40" s="296"/>
      <c r="M40" s="296"/>
      <c r="N40" s="296"/>
      <c r="O40" s="296"/>
      <c r="P40" s="296"/>
      <c r="Q40" s="296"/>
      <c r="R40" s="296"/>
      <c r="S40" s="296"/>
    </row>
    <row r="41" spans="1:19" ht="14.25" thickTop="1" thickBot="1" x14ac:dyDescent="0.25">
      <c r="A41" s="4" t="str">
        <f>TeamTrackApply</f>
        <v/>
      </c>
      <c r="B41" s="400"/>
      <c r="C41" s="401"/>
      <c r="D41" s="296"/>
      <c r="E41" s="297"/>
      <c r="F41" s="298"/>
      <c r="G41" s="296"/>
      <c r="H41" s="296"/>
      <c r="I41" s="296"/>
      <c r="J41" s="296"/>
      <c r="K41" s="296"/>
      <c r="L41" s="296"/>
      <c r="M41" s="296"/>
      <c r="N41" s="296"/>
      <c r="O41" s="296"/>
      <c r="P41" s="296"/>
      <c r="Q41" s="296"/>
      <c r="R41" s="296"/>
      <c r="S41" s="296"/>
    </row>
    <row r="42" spans="1:19" ht="14.25" thickTop="1" thickBot="1" x14ac:dyDescent="0.25">
      <c r="A42" s="4" t="str">
        <f>TeamTrackApply</f>
        <v/>
      </c>
      <c r="B42" s="400"/>
      <c r="C42" s="401"/>
      <c r="D42" s="296"/>
      <c r="E42" s="297"/>
      <c r="F42" s="298"/>
      <c r="G42" s="296"/>
      <c r="H42" s="296"/>
      <c r="I42" s="296"/>
      <c r="J42" s="296"/>
      <c r="K42" s="296"/>
      <c r="L42" s="296"/>
      <c r="M42" s="296"/>
      <c r="N42" s="296"/>
      <c r="O42" s="296"/>
      <c r="P42" s="296"/>
      <c r="Q42" s="296"/>
      <c r="R42" s="296"/>
      <c r="S42" s="296"/>
    </row>
    <row r="43" spans="1:19" ht="14.25" thickTop="1" thickBot="1" x14ac:dyDescent="0.25">
      <c r="A43" s="4" t="str">
        <f>TeamTrackApply</f>
        <v/>
      </c>
      <c r="B43" s="400"/>
      <c r="C43" s="401"/>
      <c r="D43" s="296"/>
      <c r="E43" s="297"/>
      <c r="F43" s="298"/>
      <c r="G43" s="296"/>
      <c r="H43" s="296"/>
      <c r="I43" s="296"/>
      <c r="J43" s="296"/>
      <c r="K43" s="296"/>
      <c r="L43" s="296"/>
      <c r="M43" s="296"/>
      <c r="N43" s="296"/>
      <c r="O43" s="296"/>
      <c r="P43" s="296"/>
      <c r="Q43" s="296"/>
      <c r="R43" s="296"/>
      <c r="S43" s="296"/>
    </row>
    <row r="44" spans="1:19" ht="14.25" thickTop="1" thickBot="1" x14ac:dyDescent="0.25">
      <c r="A44" s="4" t="str">
        <f>TeamTrackApply</f>
        <v/>
      </c>
      <c r="B44" s="400"/>
      <c r="C44" s="401"/>
      <c r="D44" s="296"/>
      <c r="E44" s="297"/>
      <c r="F44" s="298"/>
      <c r="G44" s="296"/>
      <c r="H44" s="296"/>
      <c r="I44" s="296"/>
      <c r="J44" s="296"/>
      <c r="K44" s="296"/>
      <c r="L44" s="296"/>
      <c r="M44" s="296"/>
      <c r="N44" s="296"/>
      <c r="O44" s="296"/>
      <c r="P44" s="296"/>
      <c r="Q44" s="296"/>
      <c r="R44" s="296"/>
      <c r="S44" s="296"/>
    </row>
    <row r="45" spans="1:19" ht="14.25" thickTop="1" thickBot="1" x14ac:dyDescent="0.25">
      <c r="A45" s="4" t="str">
        <f>TeamTrackApply</f>
        <v/>
      </c>
      <c r="B45" s="400"/>
      <c r="C45" s="401"/>
      <c r="D45" s="296"/>
      <c r="E45" s="297"/>
      <c r="F45" s="298"/>
      <c r="G45" s="296"/>
      <c r="H45" s="296"/>
      <c r="I45" s="296"/>
      <c r="J45" s="296"/>
      <c r="K45" s="296"/>
      <c r="L45" s="296"/>
      <c r="M45" s="296"/>
      <c r="N45" s="296"/>
      <c r="O45" s="296"/>
      <c r="P45" s="296"/>
      <c r="Q45" s="296"/>
      <c r="R45" s="296"/>
      <c r="S45" s="296"/>
    </row>
    <row r="46" spans="1:19" ht="14.25" thickTop="1" thickBot="1" x14ac:dyDescent="0.25">
      <c r="A46" s="4" t="str">
        <f>TeamTrackApply</f>
        <v/>
      </c>
      <c r="B46" s="400"/>
      <c r="C46" s="401"/>
      <c r="D46" s="296"/>
      <c r="E46" s="297"/>
      <c r="F46" s="298"/>
      <c r="G46" s="296"/>
      <c r="H46" s="296"/>
      <c r="I46" s="296"/>
      <c r="J46" s="296"/>
      <c r="K46" s="296"/>
      <c r="L46" s="296"/>
      <c r="M46" s="296"/>
      <c r="N46" s="296"/>
      <c r="O46" s="296"/>
      <c r="P46" s="296"/>
      <c r="Q46" s="296"/>
      <c r="R46" s="296"/>
      <c r="S46" s="296"/>
    </row>
    <row r="47" spans="1:19" ht="14.25" thickTop="1" thickBot="1" x14ac:dyDescent="0.25">
      <c r="A47" s="4" t="str">
        <f>TeamTrackApply</f>
        <v/>
      </c>
      <c r="B47" s="400"/>
      <c r="C47" s="401"/>
      <c r="D47" s="296"/>
      <c r="E47" s="297"/>
      <c r="F47" s="298"/>
      <c r="G47" s="296"/>
      <c r="H47" s="296"/>
      <c r="I47" s="296"/>
      <c r="J47" s="296"/>
      <c r="K47" s="296"/>
      <c r="L47" s="296"/>
      <c r="M47" s="296"/>
      <c r="N47" s="296"/>
      <c r="O47" s="296"/>
      <c r="P47" s="296"/>
      <c r="Q47" s="296"/>
      <c r="R47" s="296"/>
      <c r="S47" s="296"/>
    </row>
    <row r="48" spans="1:19" ht="14.25" thickTop="1" thickBot="1" x14ac:dyDescent="0.25">
      <c r="A48" s="4" t="str">
        <f>TeamTrackApply</f>
        <v/>
      </c>
      <c r="B48" s="400"/>
      <c r="C48" s="401"/>
      <c r="D48" s="296"/>
      <c r="E48" s="297"/>
      <c r="F48" s="298"/>
      <c r="G48" s="296"/>
      <c r="H48" s="296"/>
      <c r="I48" s="296"/>
      <c r="J48" s="296"/>
      <c r="K48" s="296"/>
      <c r="L48" s="296"/>
      <c r="M48" s="296"/>
      <c r="N48" s="296"/>
      <c r="O48" s="296"/>
      <c r="P48" s="296"/>
      <c r="Q48" s="296"/>
      <c r="R48" s="296"/>
      <c r="S48" s="296"/>
    </row>
    <row r="49" spans="1:19" ht="14.25" thickTop="1" thickBot="1" x14ac:dyDescent="0.25">
      <c r="A49" s="4" t="str">
        <f>TeamTrackApply</f>
        <v/>
      </c>
      <c r="B49" s="400"/>
      <c r="C49" s="401"/>
      <c r="D49" s="296"/>
      <c r="E49" s="297"/>
      <c r="F49" s="298"/>
      <c r="G49" s="296"/>
      <c r="H49" s="296"/>
      <c r="I49" s="296"/>
      <c r="J49" s="296"/>
      <c r="K49" s="296"/>
      <c r="L49" s="296"/>
      <c r="M49" s="296"/>
      <c r="N49" s="296"/>
      <c r="O49" s="296"/>
      <c r="P49" s="296"/>
      <c r="Q49" s="296"/>
      <c r="R49" s="296"/>
      <c r="S49" s="296"/>
    </row>
    <row r="50" spans="1:19" ht="14.25" thickTop="1" thickBot="1" x14ac:dyDescent="0.25">
      <c r="A50" s="4" t="str">
        <f>TeamTrackApply</f>
        <v/>
      </c>
      <c r="B50" s="400"/>
      <c r="C50" s="401"/>
      <c r="D50" s="296"/>
      <c r="E50" s="297"/>
      <c r="F50" s="298"/>
      <c r="G50" s="296"/>
      <c r="H50" s="296"/>
      <c r="I50" s="296"/>
      <c r="J50" s="296"/>
      <c r="K50" s="296"/>
      <c r="L50" s="296"/>
      <c r="M50" s="296"/>
      <c r="N50" s="296"/>
      <c r="O50" s="296"/>
      <c r="P50" s="296"/>
      <c r="Q50" s="296"/>
      <c r="R50" s="296"/>
      <c r="S50" s="296"/>
    </row>
    <row r="51" spans="1:19" ht="14.25" thickTop="1" thickBot="1" x14ac:dyDescent="0.25">
      <c r="A51" s="4" t="str">
        <f>TeamTrackApply</f>
        <v/>
      </c>
      <c r="B51" s="400"/>
      <c r="C51" s="401"/>
      <c r="D51" s="296"/>
      <c r="E51" s="297"/>
      <c r="F51" s="298"/>
      <c r="G51" s="296"/>
      <c r="H51" s="296"/>
      <c r="I51" s="296"/>
      <c r="J51" s="296"/>
      <c r="K51" s="296"/>
      <c r="L51" s="296"/>
      <c r="M51" s="296"/>
      <c r="N51" s="296"/>
      <c r="O51" s="296"/>
      <c r="P51" s="296"/>
      <c r="Q51" s="296"/>
      <c r="R51" s="296"/>
      <c r="S51" s="296"/>
    </row>
    <row r="52" spans="1:19" ht="14.25" thickTop="1" thickBot="1" x14ac:dyDescent="0.25">
      <c r="A52" s="4" t="str">
        <f>TeamTrackApply</f>
        <v/>
      </c>
      <c r="B52" s="400"/>
      <c r="C52" s="401"/>
      <c r="D52" s="296"/>
      <c r="E52" s="297"/>
      <c r="F52" s="298"/>
      <c r="G52" s="296"/>
      <c r="H52" s="296"/>
      <c r="I52" s="296"/>
      <c r="J52" s="296"/>
      <c r="K52" s="296"/>
      <c r="L52" s="296"/>
      <c r="M52" s="296"/>
      <c r="N52" s="296"/>
      <c r="O52" s="296"/>
      <c r="P52" s="296"/>
      <c r="Q52" s="296"/>
      <c r="R52" s="296"/>
      <c r="S52" s="296"/>
    </row>
    <row r="53" spans="1:19" ht="14.25" thickTop="1" thickBot="1" x14ac:dyDescent="0.25">
      <c r="A53" s="4" t="str">
        <f>TeamTrackApply</f>
        <v/>
      </c>
      <c r="B53" s="400"/>
      <c r="C53" s="401"/>
      <c r="D53" s="296"/>
      <c r="E53" s="297"/>
      <c r="F53" s="298"/>
      <c r="G53" s="296"/>
      <c r="H53" s="296"/>
      <c r="I53" s="296"/>
      <c r="J53" s="296"/>
      <c r="K53" s="296"/>
      <c r="L53" s="296"/>
      <c r="M53" s="296"/>
      <c r="N53" s="296"/>
      <c r="O53" s="296"/>
      <c r="P53" s="296"/>
      <c r="Q53" s="296"/>
      <c r="R53" s="296"/>
      <c r="S53" s="296"/>
    </row>
    <row r="54" spans="1:19" ht="14.25" thickTop="1" thickBot="1" x14ac:dyDescent="0.25">
      <c r="A54" s="4" t="str">
        <f>TeamTrackApply</f>
        <v/>
      </c>
      <c r="B54" s="400"/>
      <c r="C54" s="401"/>
      <c r="D54" s="296"/>
      <c r="E54" s="297"/>
      <c r="F54" s="298"/>
      <c r="G54" s="296"/>
      <c r="H54" s="296"/>
      <c r="I54" s="296"/>
      <c r="J54" s="296"/>
      <c r="K54" s="296"/>
      <c r="L54" s="296"/>
      <c r="M54" s="296"/>
      <c r="N54" s="296"/>
      <c r="O54" s="296"/>
      <c r="P54" s="296"/>
      <c r="Q54" s="296"/>
      <c r="R54" s="296"/>
      <c r="S54" s="296"/>
    </row>
    <row r="55" spans="1:19" ht="14.25" thickTop="1" thickBot="1" x14ac:dyDescent="0.25">
      <c r="A55" s="4" t="str">
        <f>TeamTrackApply</f>
        <v/>
      </c>
      <c r="B55" s="400"/>
      <c r="C55" s="401"/>
      <c r="D55" s="296"/>
      <c r="E55" s="297"/>
      <c r="F55" s="298"/>
      <c r="G55" s="296"/>
      <c r="H55" s="296"/>
      <c r="I55" s="296"/>
      <c r="J55" s="296"/>
      <c r="K55" s="296"/>
      <c r="L55" s="296"/>
      <c r="M55" s="296"/>
      <c r="N55" s="296"/>
      <c r="O55" s="296"/>
      <c r="P55" s="296"/>
      <c r="Q55" s="296"/>
      <c r="R55" s="296"/>
      <c r="S55" s="296"/>
    </row>
    <row r="56" spans="1:19" ht="14.25" thickTop="1" thickBot="1" x14ac:dyDescent="0.25">
      <c r="A56" s="4" t="str">
        <f>TeamTrackApply</f>
        <v/>
      </c>
      <c r="B56" s="400"/>
      <c r="C56" s="401"/>
      <c r="D56" s="296"/>
      <c r="E56" s="297"/>
      <c r="F56" s="298"/>
      <c r="G56" s="296"/>
      <c r="H56" s="296"/>
      <c r="I56" s="296"/>
      <c r="J56" s="296"/>
      <c r="K56" s="296"/>
      <c r="L56" s="296"/>
      <c r="M56" s="296"/>
      <c r="N56" s="296"/>
      <c r="O56" s="296"/>
      <c r="P56" s="296"/>
      <c r="Q56" s="296"/>
      <c r="R56" s="296"/>
      <c r="S56" s="296"/>
    </row>
    <row r="57" spans="1:19" ht="14.25" thickTop="1" thickBot="1" x14ac:dyDescent="0.25">
      <c r="A57" s="4" t="str">
        <f>TeamTrackApply</f>
        <v/>
      </c>
      <c r="B57" s="400"/>
      <c r="C57" s="401"/>
      <c r="D57" s="296"/>
      <c r="E57" s="297"/>
      <c r="F57" s="298"/>
      <c r="G57" s="296"/>
      <c r="H57" s="296"/>
      <c r="I57" s="296"/>
      <c r="J57" s="296"/>
      <c r="K57" s="296"/>
      <c r="L57" s="296"/>
      <c r="M57" s="296"/>
      <c r="N57" s="296"/>
      <c r="O57" s="296"/>
      <c r="P57" s="296"/>
      <c r="Q57" s="296"/>
      <c r="R57" s="296"/>
      <c r="S57" s="296"/>
    </row>
    <row r="58" spans="1:19" ht="14.25" thickTop="1" thickBot="1" x14ac:dyDescent="0.25">
      <c r="A58" s="4" t="str">
        <f>TeamTrackApply</f>
        <v/>
      </c>
      <c r="B58" s="400"/>
      <c r="C58" s="401"/>
      <c r="D58" s="296"/>
      <c r="E58" s="297"/>
      <c r="F58" s="298"/>
      <c r="G58" s="296"/>
      <c r="H58" s="296"/>
      <c r="I58" s="296"/>
      <c r="J58" s="296"/>
      <c r="K58" s="296"/>
      <c r="L58" s="296"/>
      <c r="M58" s="296"/>
      <c r="N58" s="296"/>
      <c r="O58" s="296"/>
      <c r="P58" s="296"/>
      <c r="Q58" s="296"/>
      <c r="R58" s="296"/>
      <c r="S58" s="296"/>
    </row>
    <row r="59" spans="1:19" ht="14.25" thickTop="1" thickBot="1" x14ac:dyDescent="0.25">
      <c r="A59" s="4" t="str">
        <f>TeamTrackApply</f>
        <v/>
      </c>
      <c r="B59" s="400"/>
      <c r="C59" s="401"/>
      <c r="D59" s="296"/>
      <c r="E59" s="297"/>
      <c r="F59" s="298"/>
      <c r="G59" s="296"/>
      <c r="H59" s="296"/>
      <c r="I59" s="296"/>
      <c r="J59" s="296"/>
      <c r="K59" s="296"/>
      <c r="L59" s="296"/>
      <c r="M59" s="296"/>
      <c r="N59" s="296"/>
      <c r="O59" s="296"/>
      <c r="P59" s="296"/>
      <c r="Q59" s="296"/>
      <c r="R59" s="296"/>
      <c r="S59" s="296"/>
    </row>
    <row r="60" spans="1:19" ht="14.25" thickTop="1" thickBot="1" x14ac:dyDescent="0.25">
      <c r="A60" s="4" t="str">
        <f>TeamTrackApply</f>
        <v/>
      </c>
      <c r="B60" s="400"/>
      <c r="C60" s="401"/>
      <c r="D60" s="296"/>
      <c r="E60" s="297"/>
      <c r="F60" s="298"/>
      <c r="G60" s="296"/>
      <c r="H60" s="296"/>
      <c r="I60" s="296"/>
      <c r="J60" s="296"/>
      <c r="K60" s="296"/>
      <c r="L60" s="296"/>
      <c r="M60" s="296"/>
      <c r="N60" s="296"/>
      <c r="O60" s="296"/>
      <c r="P60" s="296"/>
      <c r="Q60" s="296"/>
      <c r="R60" s="296"/>
      <c r="S60" s="296"/>
    </row>
    <row r="61" spans="1:19" ht="14.25" thickTop="1" thickBot="1" x14ac:dyDescent="0.25">
      <c r="A61" s="4" t="str">
        <f>TeamTrackApply</f>
        <v/>
      </c>
      <c r="B61" s="400"/>
      <c r="C61" s="401"/>
      <c r="D61" s="296"/>
      <c r="E61" s="297"/>
      <c r="F61" s="298"/>
      <c r="G61" s="296"/>
      <c r="H61" s="296"/>
      <c r="I61" s="296"/>
      <c r="J61" s="296"/>
      <c r="K61" s="296"/>
      <c r="L61" s="296"/>
      <c r="M61" s="296"/>
      <c r="N61" s="296"/>
      <c r="O61" s="296"/>
      <c r="P61" s="296"/>
      <c r="Q61" s="296"/>
      <c r="R61" s="296"/>
      <c r="S61" s="296"/>
    </row>
    <row r="62" spans="1:19" ht="14.25" thickTop="1" thickBot="1" x14ac:dyDescent="0.25">
      <c r="A62" s="4" t="str">
        <f>TeamTrackApply</f>
        <v/>
      </c>
      <c r="B62" s="400"/>
      <c r="C62" s="401"/>
      <c r="D62" s="296"/>
      <c r="E62" s="297"/>
      <c r="F62" s="298"/>
      <c r="G62" s="296"/>
      <c r="H62" s="296"/>
      <c r="I62" s="296"/>
      <c r="J62" s="296"/>
      <c r="K62" s="296"/>
      <c r="L62" s="296"/>
      <c r="M62" s="296"/>
      <c r="N62" s="296"/>
      <c r="O62" s="296"/>
      <c r="P62" s="296"/>
      <c r="Q62" s="296"/>
      <c r="R62" s="296"/>
      <c r="S62" s="296"/>
    </row>
    <row r="63" spans="1:19" ht="14.25" thickTop="1" thickBot="1" x14ac:dyDescent="0.25">
      <c r="A63" s="4" t="str">
        <f>TeamTrackApply</f>
        <v/>
      </c>
      <c r="B63" s="400"/>
      <c r="C63" s="401"/>
      <c r="D63" s="296"/>
      <c r="E63" s="297"/>
      <c r="F63" s="298"/>
      <c r="G63" s="296"/>
      <c r="H63" s="296"/>
      <c r="I63" s="296"/>
      <c r="J63" s="296"/>
      <c r="K63" s="296"/>
      <c r="L63" s="296"/>
      <c r="M63" s="296"/>
      <c r="N63" s="296"/>
      <c r="O63" s="296"/>
      <c r="P63" s="296"/>
      <c r="Q63" s="296"/>
      <c r="R63" s="296"/>
      <c r="S63" s="296"/>
    </row>
    <row r="64" spans="1:19" ht="14.25" thickTop="1" thickBot="1" x14ac:dyDescent="0.25">
      <c r="A64" s="4" t="str">
        <f>TeamTrackApply</f>
        <v/>
      </c>
      <c r="B64" s="400"/>
      <c r="C64" s="401"/>
      <c r="D64" s="296"/>
      <c r="E64" s="297"/>
      <c r="F64" s="298"/>
      <c r="G64" s="296"/>
      <c r="H64" s="296"/>
      <c r="I64" s="296"/>
      <c r="J64" s="296"/>
      <c r="K64" s="296"/>
      <c r="L64" s="296"/>
      <c r="M64" s="296"/>
      <c r="N64" s="296"/>
      <c r="O64" s="296"/>
      <c r="P64" s="296"/>
      <c r="Q64" s="296"/>
      <c r="R64" s="296"/>
      <c r="S64" s="296"/>
    </row>
    <row r="65" spans="1:19" ht="14.25" thickTop="1" thickBot="1" x14ac:dyDescent="0.25">
      <c r="A65" s="4" t="str">
        <f>TeamTrackApply</f>
        <v/>
      </c>
      <c r="B65" s="400"/>
      <c r="C65" s="401"/>
      <c r="D65" s="296"/>
      <c r="E65" s="297"/>
      <c r="F65" s="298"/>
      <c r="G65" s="296"/>
      <c r="H65" s="296"/>
      <c r="I65" s="296"/>
      <c r="J65" s="296"/>
      <c r="K65" s="296"/>
      <c r="L65" s="296"/>
      <c r="M65" s="296"/>
      <c r="N65" s="296"/>
      <c r="O65" s="296"/>
      <c r="P65" s="296"/>
      <c r="Q65" s="296"/>
      <c r="R65" s="296"/>
      <c r="S65" s="296"/>
    </row>
    <row r="66" spans="1:19" ht="14.25" thickTop="1" thickBot="1" x14ac:dyDescent="0.25">
      <c r="A66" s="4" t="str">
        <f>TeamTrackApply</f>
        <v/>
      </c>
      <c r="B66" s="400"/>
      <c r="C66" s="401"/>
      <c r="D66" s="296"/>
      <c r="E66" s="297"/>
      <c r="F66" s="298"/>
      <c r="G66" s="296"/>
      <c r="H66" s="296"/>
      <c r="I66" s="296"/>
      <c r="J66" s="296"/>
      <c r="K66" s="296"/>
      <c r="L66" s="296"/>
      <c r="M66" s="296"/>
      <c r="N66" s="296"/>
      <c r="O66" s="296"/>
      <c r="P66" s="296"/>
      <c r="Q66" s="296"/>
      <c r="R66" s="296"/>
      <c r="S66" s="296"/>
    </row>
    <row r="67" spans="1:19" ht="14.25" thickTop="1" thickBot="1" x14ac:dyDescent="0.25">
      <c r="A67" s="4" t="str">
        <f>TeamTrackApply</f>
        <v/>
      </c>
      <c r="B67" s="400"/>
      <c r="C67" s="401"/>
      <c r="D67" s="296"/>
      <c r="E67" s="297"/>
      <c r="F67" s="298"/>
      <c r="G67" s="296"/>
      <c r="H67" s="296"/>
      <c r="I67" s="296"/>
      <c r="J67" s="296"/>
      <c r="K67" s="296"/>
      <c r="L67" s="296"/>
      <c r="M67" s="296"/>
      <c r="N67" s="296"/>
      <c r="O67" s="296"/>
      <c r="P67" s="296"/>
      <c r="Q67" s="296"/>
      <c r="R67" s="296"/>
      <c r="S67" s="296"/>
    </row>
    <row r="68" spans="1:19" ht="14.25" thickTop="1" thickBot="1" x14ac:dyDescent="0.25">
      <c r="A68" s="4" t="str">
        <f>TeamTrackApply</f>
        <v/>
      </c>
      <c r="B68" s="400"/>
      <c r="C68" s="401"/>
      <c r="D68" s="296"/>
      <c r="E68" s="297"/>
      <c r="F68" s="298"/>
      <c r="G68" s="296"/>
      <c r="H68" s="296"/>
      <c r="I68" s="296"/>
      <c r="J68" s="296"/>
      <c r="K68" s="296"/>
      <c r="L68" s="296"/>
      <c r="M68" s="296"/>
      <c r="N68" s="296"/>
      <c r="O68" s="296"/>
      <c r="P68" s="296"/>
      <c r="Q68" s="296"/>
      <c r="R68" s="296"/>
      <c r="S68" s="296"/>
    </row>
    <row r="69" spans="1:19" ht="14.25" thickTop="1" thickBot="1" x14ac:dyDescent="0.25">
      <c r="A69" s="4" t="str">
        <f>TeamTrackApply</f>
        <v/>
      </c>
      <c r="B69" s="400"/>
      <c r="C69" s="401"/>
      <c r="D69" s="296"/>
      <c r="E69" s="297"/>
      <c r="F69" s="298"/>
      <c r="G69" s="296"/>
      <c r="H69" s="296"/>
      <c r="I69" s="296"/>
      <c r="J69" s="296"/>
      <c r="K69" s="296"/>
      <c r="L69" s="296"/>
      <c r="M69" s="296"/>
      <c r="N69" s="296"/>
      <c r="O69" s="296"/>
      <c r="P69" s="296"/>
      <c r="Q69" s="296"/>
      <c r="R69" s="296"/>
      <c r="S69" s="296"/>
    </row>
    <row r="70" spans="1:19" ht="14.25" thickTop="1" thickBot="1" x14ac:dyDescent="0.25">
      <c r="A70" s="4" t="str">
        <f>TeamTrackApply</f>
        <v/>
      </c>
      <c r="B70" s="400"/>
      <c r="C70" s="401"/>
      <c r="D70" s="296"/>
      <c r="E70" s="297"/>
      <c r="F70" s="298"/>
      <c r="G70" s="296"/>
      <c r="H70" s="296"/>
      <c r="I70" s="296"/>
      <c r="J70" s="296"/>
      <c r="K70" s="296"/>
      <c r="L70" s="296"/>
      <c r="M70" s="296"/>
      <c r="N70" s="296"/>
      <c r="O70" s="296"/>
      <c r="P70" s="296"/>
      <c r="Q70" s="296"/>
      <c r="R70" s="296"/>
      <c r="S70" s="296"/>
    </row>
    <row r="71" spans="1:19" ht="14.25" thickTop="1" thickBot="1" x14ac:dyDescent="0.25">
      <c r="A71" s="4" t="str">
        <f>TeamTrackApply</f>
        <v/>
      </c>
      <c r="B71" s="400"/>
      <c r="C71" s="401"/>
      <c r="D71" s="296"/>
      <c r="E71" s="297"/>
      <c r="F71" s="298"/>
      <c r="G71" s="296"/>
      <c r="H71" s="296"/>
      <c r="I71" s="296"/>
      <c r="J71" s="296"/>
      <c r="K71" s="296"/>
      <c r="L71" s="296"/>
      <c r="M71" s="296"/>
      <c r="N71" s="296"/>
      <c r="O71" s="296"/>
      <c r="P71" s="296"/>
      <c r="Q71" s="296"/>
      <c r="R71" s="296"/>
      <c r="S71" s="296"/>
    </row>
    <row r="72" spans="1:19" ht="14.25" thickTop="1" thickBot="1" x14ac:dyDescent="0.25">
      <c r="A72" s="4" t="str">
        <f>TeamTrackApply</f>
        <v/>
      </c>
      <c r="B72" s="400"/>
      <c r="C72" s="401"/>
      <c r="D72" s="296"/>
      <c r="E72" s="297"/>
      <c r="F72" s="298"/>
      <c r="G72" s="296"/>
      <c r="H72" s="296"/>
      <c r="I72" s="296"/>
      <c r="J72" s="296"/>
      <c r="K72" s="296"/>
      <c r="L72" s="296"/>
      <c r="M72" s="296"/>
      <c r="N72" s="296"/>
      <c r="O72" s="296"/>
      <c r="P72" s="296"/>
      <c r="Q72" s="296"/>
      <c r="R72" s="296"/>
      <c r="S72" s="296"/>
    </row>
    <row r="73" spans="1:19" ht="14.25" thickTop="1" thickBot="1" x14ac:dyDescent="0.25">
      <c r="A73" s="4" t="str">
        <f>TeamTrackApply</f>
        <v/>
      </c>
      <c r="B73" s="400"/>
      <c r="C73" s="401"/>
      <c r="D73" s="296"/>
      <c r="E73" s="297"/>
      <c r="F73" s="298"/>
      <c r="G73" s="296"/>
      <c r="H73" s="296"/>
      <c r="I73" s="296"/>
      <c r="J73" s="296"/>
      <c r="K73" s="296"/>
      <c r="L73" s="296"/>
      <c r="M73" s="296"/>
      <c r="N73" s="296"/>
      <c r="O73" s="296"/>
      <c r="P73" s="296"/>
      <c r="Q73" s="296"/>
      <c r="R73" s="296"/>
      <c r="S73" s="296"/>
    </row>
    <row r="74" spans="1:19" ht="14.25" thickTop="1" thickBot="1" x14ac:dyDescent="0.25">
      <c r="A74" s="4" t="str">
        <f>TeamTrackApply</f>
        <v/>
      </c>
      <c r="B74" s="400"/>
      <c r="C74" s="401"/>
      <c r="D74" s="296"/>
      <c r="E74" s="297"/>
      <c r="F74" s="298"/>
      <c r="G74" s="296"/>
      <c r="H74" s="296"/>
      <c r="I74" s="296"/>
      <c r="J74" s="296"/>
      <c r="K74" s="296"/>
      <c r="L74" s="296"/>
      <c r="M74" s="296"/>
      <c r="N74" s="296"/>
      <c r="O74" s="296"/>
      <c r="P74" s="296"/>
      <c r="Q74" s="296"/>
      <c r="R74" s="296"/>
      <c r="S74" s="296"/>
    </row>
    <row r="75" spans="1:19" ht="14.25" thickTop="1" thickBot="1" x14ac:dyDescent="0.25">
      <c r="A75" s="4" t="str">
        <f>TeamTrackApply</f>
        <v/>
      </c>
      <c r="B75" s="400"/>
      <c r="C75" s="401"/>
      <c r="D75" s="296"/>
      <c r="E75" s="297"/>
      <c r="F75" s="298"/>
      <c r="G75" s="296"/>
      <c r="H75" s="296"/>
      <c r="I75" s="296"/>
      <c r="J75" s="296"/>
      <c r="K75" s="296"/>
      <c r="L75" s="296"/>
      <c r="M75" s="296"/>
      <c r="N75" s="296"/>
      <c r="O75" s="296"/>
      <c r="P75" s="296"/>
      <c r="Q75" s="296"/>
      <c r="R75" s="296"/>
      <c r="S75" s="296"/>
    </row>
    <row r="76" spans="1:19" ht="14.25" thickTop="1" thickBot="1" x14ac:dyDescent="0.25">
      <c r="A76" s="4" t="str">
        <f>TeamTrackApply</f>
        <v/>
      </c>
      <c r="B76" s="400"/>
      <c r="C76" s="401"/>
      <c r="D76" s="296"/>
      <c r="E76" s="297"/>
      <c r="F76" s="298"/>
      <c r="G76" s="296"/>
      <c r="H76" s="296"/>
      <c r="I76" s="296"/>
      <c r="J76" s="296"/>
      <c r="K76" s="296"/>
      <c r="L76" s="296"/>
      <c r="M76" s="296"/>
      <c r="N76" s="296"/>
      <c r="O76" s="296"/>
      <c r="P76" s="296"/>
      <c r="Q76" s="296"/>
      <c r="R76" s="296"/>
      <c r="S76" s="296"/>
    </row>
    <row r="77" spans="1:19" ht="14.25" thickTop="1" thickBot="1" x14ac:dyDescent="0.25">
      <c r="A77" s="4" t="str">
        <f>TeamTrackApply</f>
        <v/>
      </c>
      <c r="B77" s="400"/>
      <c r="C77" s="401"/>
      <c r="D77" s="296"/>
      <c r="E77" s="297"/>
      <c r="F77" s="298"/>
      <c r="G77" s="296"/>
      <c r="H77" s="296"/>
      <c r="I77" s="296"/>
      <c r="J77" s="296"/>
      <c r="K77" s="296"/>
      <c r="L77" s="296"/>
      <c r="M77" s="296"/>
      <c r="N77" s="296"/>
      <c r="O77" s="296"/>
      <c r="P77" s="296"/>
      <c r="Q77" s="296"/>
      <c r="R77" s="296"/>
      <c r="S77" s="296"/>
    </row>
    <row r="78" spans="1:19" ht="14.25" thickTop="1" thickBot="1" x14ac:dyDescent="0.25">
      <c r="A78" s="4" t="str">
        <f>TeamTrackApply</f>
        <v/>
      </c>
      <c r="B78" s="400"/>
      <c r="C78" s="401"/>
      <c r="D78" s="296"/>
      <c r="E78" s="297"/>
      <c r="F78" s="298"/>
      <c r="G78" s="296"/>
      <c r="H78" s="296"/>
      <c r="I78" s="296"/>
      <c r="J78" s="296"/>
      <c r="K78" s="296"/>
      <c r="L78" s="296"/>
      <c r="M78" s="296"/>
      <c r="N78" s="296"/>
      <c r="O78" s="296"/>
      <c r="P78" s="296"/>
      <c r="Q78" s="296"/>
      <c r="R78" s="296"/>
      <c r="S78" s="296"/>
    </row>
    <row r="79" spans="1:19" ht="14.25" thickTop="1" thickBot="1" x14ac:dyDescent="0.25">
      <c r="A79" s="4" t="str">
        <f>TeamTrackApply</f>
        <v/>
      </c>
      <c r="B79" s="400"/>
      <c r="C79" s="401"/>
      <c r="D79" s="296"/>
      <c r="E79" s="297"/>
      <c r="F79" s="298"/>
      <c r="G79" s="296"/>
      <c r="H79" s="296"/>
      <c r="I79" s="296"/>
      <c r="J79" s="296"/>
      <c r="K79" s="296"/>
      <c r="L79" s="296"/>
      <c r="M79" s="296"/>
      <c r="N79" s="296"/>
      <c r="O79" s="296"/>
      <c r="P79" s="296"/>
      <c r="Q79" s="296"/>
      <c r="R79" s="296"/>
      <c r="S79" s="296"/>
    </row>
    <row r="80" spans="1:19" ht="14.25" thickTop="1" thickBot="1" x14ac:dyDescent="0.25">
      <c r="A80" s="4" t="str">
        <f>TeamTrackApply</f>
        <v/>
      </c>
      <c r="B80" s="400"/>
      <c r="C80" s="401"/>
      <c r="D80" s="296"/>
      <c r="E80" s="297"/>
      <c r="F80" s="298"/>
      <c r="G80" s="296"/>
      <c r="H80" s="296"/>
      <c r="I80" s="296"/>
      <c r="J80" s="296"/>
      <c r="K80" s="296"/>
      <c r="L80" s="296"/>
      <c r="M80" s="296"/>
      <c r="N80" s="296"/>
      <c r="O80" s="296"/>
      <c r="P80" s="296"/>
      <c r="Q80" s="296"/>
      <c r="R80" s="296"/>
      <c r="S80" s="296"/>
    </row>
    <row r="81" spans="1:19" ht="14.25" thickTop="1" thickBot="1" x14ac:dyDescent="0.25">
      <c r="A81" s="4" t="str">
        <f>TeamTrackApply</f>
        <v/>
      </c>
      <c r="B81" s="400"/>
      <c r="C81" s="401"/>
      <c r="D81" s="296"/>
      <c r="E81" s="297"/>
      <c r="F81" s="298"/>
      <c r="G81" s="296"/>
      <c r="H81" s="296"/>
      <c r="I81" s="296"/>
      <c r="J81" s="296"/>
      <c r="K81" s="296"/>
      <c r="L81" s="296"/>
      <c r="M81" s="296"/>
      <c r="N81" s="296"/>
      <c r="O81" s="296"/>
      <c r="P81" s="296"/>
      <c r="Q81" s="296"/>
      <c r="R81" s="296"/>
      <c r="S81" s="296"/>
    </row>
    <row r="82" spans="1:19" ht="14.25" thickTop="1" thickBot="1" x14ac:dyDescent="0.25">
      <c r="A82" s="4" t="str">
        <f>TeamTrackApply</f>
        <v/>
      </c>
      <c r="B82" s="400"/>
      <c r="C82" s="401"/>
      <c r="D82" s="296"/>
      <c r="E82" s="297"/>
      <c r="F82" s="298"/>
      <c r="G82" s="296"/>
      <c r="H82" s="296"/>
      <c r="I82" s="296"/>
      <c r="J82" s="296"/>
      <c r="K82" s="296"/>
      <c r="L82" s="296"/>
      <c r="M82" s="296"/>
      <c r="N82" s="296"/>
      <c r="O82" s="296"/>
      <c r="P82" s="296"/>
      <c r="Q82" s="296"/>
      <c r="R82" s="296"/>
      <c r="S82" s="296"/>
    </row>
    <row r="83" spans="1:19" ht="14.25" thickTop="1" thickBot="1" x14ac:dyDescent="0.25">
      <c r="A83" s="4" t="str">
        <f>TeamTrackApply</f>
        <v/>
      </c>
      <c r="B83" s="400"/>
      <c r="C83" s="401"/>
      <c r="D83" s="296"/>
      <c r="E83" s="297"/>
      <c r="F83" s="298"/>
      <c r="G83" s="296"/>
      <c r="H83" s="296"/>
      <c r="I83" s="296"/>
      <c r="J83" s="296"/>
      <c r="K83" s="296"/>
      <c r="L83" s="296"/>
      <c r="M83" s="296"/>
      <c r="N83" s="296"/>
      <c r="O83" s="296"/>
      <c r="P83" s="296"/>
      <c r="Q83" s="296"/>
      <c r="R83" s="296"/>
      <c r="S83" s="296"/>
    </row>
    <row r="84" spans="1:19" ht="14.25" thickTop="1" thickBot="1" x14ac:dyDescent="0.25">
      <c r="A84" s="4" t="str">
        <f>TeamTrackApply</f>
        <v/>
      </c>
      <c r="B84" s="400"/>
      <c r="C84" s="401"/>
      <c r="D84" s="296"/>
      <c r="E84" s="297"/>
      <c r="F84" s="298"/>
      <c r="G84" s="296"/>
      <c r="H84" s="296"/>
      <c r="I84" s="296"/>
      <c r="J84" s="296"/>
      <c r="K84" s="296"/>
      <c r="L84" s="296"/>
      <c r="M84" s="296"/>
      <c r="N84" s="296"/>
      <c r="O84" s="296"/>
      <c r="P84" s="296"/>
      <c r="Q84" s="296"/>
      <c r="R84" s="296"/>
      <c r="S84" s="296"/>
    </row>
    <row r="85" spans="1:19" ht="13.5" thickTop="1" x14ac:dyDescent="0.2">
      <c r="A85" s="4" t="str">
        <f>TeamTrackApply</f>
        <v/>
      </c>
    </row>
    <row r="86" spans="1:19" x14ac:dyDescent="0.2">
      <c r="A86" s="4" t="str">
        <f>TeamTrackApply</f>
        <v/>
      </c>
    </row>
    <row r="87" spans="1:19" x14ac:dyDescent="0.2">
      <c r="A87" s="4" t="str">
        <f>TeamTrackApply</f>
        <v/>
      </c>
    </row>
  </sheetData>
  <sheetProtection algorithmName="SHA-512" hashValue="rBkp+oPMyf7CBN9ReEsvPdl5MI4zVmEeBXh3mWAYQKnWv2sJGOMbw/wPpq+t+oSXN73Ihi/F6pEL9/GVJgzyxA==" saltValue="Af3cQDaHxZsi0D1ufO3TQg==" spinCount="100000" sheet="1" selectLockedCells="1"/>
  <sortState ref="B15:C84">
    <sortCondition ref="C15"/>
  </sortState>
  <mergeCells count="5">
    <mergeCell ref="B3:C3"/>
    <mergeCell ref="B4:C4"/>
    <mergeCell ref="B5:C5"/>
    <mergeCell ref="B6:C6"/>
    <mergeCell ref="I3:J3"/>
  </mergeCells>
  <phoneticPr fontId="49" type="noConversion"/>
  <conditionalFormatting sqref="D15:S36">
    <cfRule type="expression" dxfId="927" priority="14">
      <formula>MOD($A15,2)=0</formula>
    </cfRule>
    <cfRule type="expression" dxfId="926" priority="15" stopIfTrue="1">
      <formula>LEN($A15)*MOD(ROW($A15),2)</formula>
    </cfRule>
  </conditionalFormatting>
  <conditionalFormatting sqref="D37:S54">
    <cfRule type="expression" dxfId="925" priority="12">
      <formula>MOD($A37,2)=0</formula>
    </cfRule>
    <cfRule type="expression" dxfId="924" priority="13" stopIfTrue="1">
      <formula>LEN($A37)*MOD(ROW($A37),2)</formula>
    </cfRule>
  </conditionalFormatting>
  <conditionalFormatting sqref="D55:S81">
    <cfRule type="expression" dxfId="923" priority="10">
      <formula>MOD($A55,2)=0</formula>
    </cfRule>
    <cfRule type="expression" dxfId="922" priority="11" stopIfTrue="1">
      <formula>LEN($A55)*MOD(ROW($A55),2)</formula>
    </cfRule>
  </conditionalFormatting>
  <conditionalFormatting sqref="D82:S84">
    <cfRule type="expression" dxfId="921" priority="8">
      <formula>MOD($A82,2)=0</formula>
    </cfRule>
    <cfRule type="expression" dxfId="920" priority="9" stopIfTrue="1">
      <formula>LEN($A82)*MOD(ROW($A82),2)</formula>
    </cfRule>
  </conditionalFormatting>
  <conditionalFormatting sqref="B15:C21">
    <cfRule type="expression" dxfId="919" priority="3">
      <formula>MOD($A15,2)=0</formula>
    </cfRule>
    <cfRule type="expression" dxfId="918" priority="4" stopIfTrue="1">
      <formula>LEN($A15)*MOD(ROW($A15),2)</formula>
    </cfRule>
  </conditionalFormatting>
  <conditionalFormatting sqref="B22:C84">
    <cfRule type="expression" dxfId="917" priority="1">
      <formula>MOD($A22,2)=0</formula>
    </cfRule>
    <cfRule type="expression" dxfId="916" priority="2" stopIfTrue="1">
      <formula>LEN($A22)*MOD(ROW($A22),2)</formula>
    </cfRule>
  </conditionalFormatting>
  <dataValidations count="1">
    <dataValidation type="list" allowBlank="1" showInputMessage="1" showErrorMessage="1" sqref="I3:J3" xr:uid="{00000000-0002-0000-0100-000000000000}">
      <formula1>$L$1:$L$3</formula1>
    </dataValidation>
  </dataValidations>
  <pageMargins left="0.7" right="0.7" top="0.75" bottom="0.75" header="0.3" footer="0.3"/>
  <pageSetup orientation="portrait" r:id="rId1"/>
  <drawing r:id="rId2"/>
  <legacyDrawing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S469"/>
  <sheetViews>
    <sheetView showGridLines="0" tabSelected="1" topLeftCell="A245" zoomScaleNormal="100" zoomScalePageLayoutView="125" workbookViewId="0">
      <selection activeCell="A289" sqref="A289"/>
    </sheetView>
  </sheetViews>
  <sheetFormatPr defaultColWidth="8.85546875" defaultRowHeight="12.75" x14ac:dyDescent="0.2"/>
  <cols>
    <col min="1" max="1" width="73.7109375" style="1" customWidth="1"/>
    <col min="2" max="2" width="8.140625" style="1" customWidth="1"/>
    <col min="3" max="3" width="16.42578125" customWidth="1"/>
    <col min="4" max="4" width="4.42578125" style="10" customWidth="1"/>
    <col min="5" max="5" width="4.42578125" customWidth="1"/>
    <col min="6" max="6" width="5" customWidth="1"/>
    <col min="7" max="7" width="4.42578125" style="10" customWidth="1"/>
    <col min="8" max="8" width="4.42578125" customWidth="1"/>
    <col min="9" max="9" width="5" customWidth="1"/>
    <col min="10" max="10" width="4.42578125" style="10" customWidth="1"/>
    <col min="11" max="11" width="4.42578125" customWidth="1"/>
    <col min="12" max="12" width="5" customWidth="1"/>
    <col min="13" max="13" width="4.42578125" style="10" customWidth="1"/>
    <col min="14" max="14" width="4.42578125" customWidth="1"/>
    <col min="15" max="15" width="5.42578125" bestFit="1" customWidth="1"/>
    <col min="16" max="16" width="5.140625" style="138" customWidth="1"/>
    <col min="17" max="17" width="1.85546875" style="15" customWidth="1"/>
    <col min="18" max="18" width="5.42578125" style="15" customWidth="1"/>
    <col min="19" max="19" width="1.85546875" style="15" customWidth="1"/>
    <col min="20" max="20" width="4.85546875" style="15" customWidth="1"/>
    <col min="21" max="21" width="5.42578125" style="136" customWidth="1"/>
    <col min="22" max="22" width="4.85546875" style="136" customWidth="1"/>
    <col min="23" max="23" width="5.85546875" style="136" customWidth="1"/>
    <col min="24" max="24" width="5" style="136" customWidth="1"/>
    <col min="25" max="25" width="7.85546875" style="136" customWidth="1"/>
    <col min="26" max="27" width="14.42578125" bestFit="1" customWidth="1"/>
    <col min="28" max="28" width="14.85546875" style="4" bestFit="1" customWidth="1"/>
    <col min="29" max="29" width="14.85546875" style="4" customWidth="1"/>
    <col min="30" max="31" width="6.140625" style="4" bestFit="1" customWidth="1"/>
    <col min="32" max="33" width="2.85546875" style="5" customWidth="1"/>
    <col min="34" max="34" width="11.85546875" style="5" bestFit="1" customWidth="1"/>
    <col min="35" max="35" width="17.85546875" style="5" customWidth="1"/>
    <col min="36" max="37" width="11.85546875" style="5" customWidth="1"/>
    <col min="38" max="38" width="26.42578125" style="5" customWidth="1"/>
    <col min="39" max="42" width="11.85546875" style="5" customWidth="1"/>
  </cols>
  <sheetData>
    <row r="1" spans="1:45" s="151" customFormat="1" ht="17.45" customHeight="1" x14ac:dyDescent="0.25">
      <c r="A1"/>
      <c r="B1" s="316"/>
      <c r="C1" s="264"/>
      <c r="D1" s="150"/>
      <c r="G1" s="150"/>
      <c r="J1" s="150"/>
      <c r="M1" s="150"/>
      <c r="P1" s="152"/>
      <c r="Q1" s="153"/>
      <c r="R1" s="154"/>
      <c r="S1" s="154"/>
      <c r="T1" s="154"/>
      <c r="U1" s="415" t="s">
        <v>319</v>
      </c>
      <c r="V1" s="415"/>
      <c r="W1" s="415"/>
      <c r="X1" s="415"/>
      <c r="Y1" s="415"/>
      <c r="Z1" s="415"/>
      <c r="AA1" s="156"/>
      <c r="AB1" s="156"/>
      <c r="AC1" s="157"/>
      <c r="AD1" s="157"/>
      <c r="AE1" s="156"/>
      <c r="AF1" s="156"/>
      <c r="AG1" s="157"/>
      <c r="AH1" s="157"/>
      <c r="AI1" s="157"/>
      <c r="AJ1" s="157"/>
      <c r="AK1" s="157"/>
      <c r="AL1" s="157"/>
      <c r="AM1" s="157"/>
      <c r="AN1" s="157"/>
      <c r="AO1" s="157"/>
      <c r="AP1" s="157"/>
      <c r="AQ1" s="157"/>
    </row>
    <row r="2" spans="1:45" s="151" customFormat="1" ht="18" x14ac:dyDescent="0.25">
      <c r="A2" s="316"/>
      <c r="B2" s="316"/>
      <c r="C2" s="264" t="str">
        <f>Name</f>
        <v>SHUTDOWN SHOWDOWN</v>
      </c>
      <c r="D2" s="150"/>
      <c r="G2" s="150"/>
      <c r="J2" s="150"/>
      <c r="M2" s="150"/>
      <c r="P2" s="152"/>
      <c r="Q2" s="153"/>
      <c r="R2" s="154"/>
      <c r="S2" s="154"/>
      <c r="T2" s="154"/>
      <c r="U2" s="415"/>
      <c r="V2" s="415"/>
      <c r="W2" s="415"/>
      <c r="X2" s="415"/>
      <c r="Y2" s="415"/>
      <c r="Z2" s="415"/>
      <c r="AA2" s="158"/>
      <c r="AB2" s="158"/>
      <c r="AC2" s="159"/>
      <c r="AD2" s="159"/>
      <c r="AE2" s="158"/>
      <c r="AF2" s="158"/>
      <c r="AG2" s="159"/>
      <c r="AH2" s="159"/>
      <c r="AI2" s="159"/>
      <c r="AJ2" s="159"/>
      <c r="AK2" s="159"/>
      <c r="AL2" s="159"/>
      <c r="AM2" s="159"/>
      <c r="AN2" s="159"/>
      <c r="AO2" s="159"/>
      <c r="AP2" s="159"/>
      <c r="AQ2" s="159"/>
      <c r="AR2" s="24"/>
      <c r="AS2" s="24"/>
    </row>
    <row r="3" spans="1:45" s="151" customFormat="1" x14ac:dyDescent="0.2">
      <c r="A3" s="316"/>
      <c r="B3" s="316"/>
      <c r="C3" s="265" t="str">
        <f>"Hosted by "&amp;Host&amp;" in "&amp;Location</f>
        <v>Hosted by Rhodes, Ohio State, UCLA, and Columbia in Brooklyn Law School - New York City</v>
      </c>
      <c r="D3" s="150"/>
      <c r="G3" s="150"/>
      <c r="J3" s="150"/>
      <c r="M3" s="150"/>
      <c r="P3" s="152"/>
      <c r="Q3" s="154"/>
      <c r="R3" s="154"/>
      <c r="S3" s="154"/>
      <c r="T3" s="154"/>
      <c r="U3" s="415"/>
      <c r="V3" s="415"/>
      <c r="W3" s="415"/>
      <c r="X3" s="415"/>
      <c r="Y3" s="415"/>
      <c r="Z3" s="415"/>
      <c r="AA3" s="158"/>
      <c r="AB3" s="158"/>
      <c r="AC3" s="159"/>
      <c r="AD3" s="159"/>
      <c r="AE3" s="158"/>
      <c r="AF3" s="158"/>
      <c r="AG3" s="159"/>
      <c r="AH3" s="159"/>
      <c r="AI3" s="159"/>
      <c r="AJ3" s="159"/>
      <c r="AK3" s="159"/>
      <c r="AL3" s="159"/>
      <c r="AM3" s="159"/>
      <c r="AN3" s="159"/>
      <c r="AO3" s="159"/>
      <c r="AP3" s="159"/>
      <c r="AQ3" s="159"/>
    </row>
    <row r="4" spans="1:45" s="151" customFormat="1" ht="12.95" customHeight="1" x14ac:dyDescent="0.2">
      <c r="A4" s="316"/>
      <c r="B4" s="316"/>
      <c r="C4" s="266" t="str">
        <f>Date</f>
        <v>January 26 - 27, 2019</v>
      </c>
      <c r="D4" s="150"/>
      <c r="G4" s="150"/>
      <c r="J4" s="150"/>
      <c r="M4" s="150"/>
      <c r="P4" s="152"/>
      <c r="Q4" s="154"/>
      <c r="R4" s="154"/>
      <c r="S4" s="154"/>
      <c r="T4" s="154"/>
      <c r="U4" s="415" t="s">
        <v>320</v>
      </c>
      <c r="V4" s="415"/>
      <c r="W4" s="415"/>
      <c r="X4" s="415"/>
      <c r="Y4" s="415"/>
      <c r="Z4" s="415"/>
      <c r="AA4" s="158"/>
      <c r="AB4" s="158"/>
      <c r="AC4" s="159"/>
      <c r="AD4" s="159"/>
      <c r="AE4" s="158"/>
      <c r="AF4" s="158"/>
      <c r="AG4" s="159"/>
      <c r="AH4" s="159"/>
      <c r="AI4" s="159"/>
      <c r="AJ4" s="159"/>
      <c r="AK4" s="159"/>
      <c r="AL4" s="159"/>
      <c r="AM4" s="159"/>
      <c r="AN4" s="159"/>
      <c r="AO4" s="159"/>
      <c r="AP4" s="159"/>
      <c r="AQ4" s="159"/>
    </row>
    <row r="5" spans="1:45" s="151" customFormat="1" x14ac:dyDescent="0.2">
      <c r="A5" s="316"/>
      <c r="B5" s="316"/>
      <c r="C5" s="266" t="s">
        <v>23</v>
      </c>
      <c r="D5" s="150"/>
      <c r="G5" s="150"/>
      <c r="J5" s="150"/>
      <c r="M5" s="150"/>
      <c r="P5" s="152"/>
      <c r="Q5" s="154"/>
      <c r="R5" s="154"/>
      <c r="S5" s="154"/>
      <c r="T5" s="154"/>
      <c r="U5" s="415"/>
      <c r="V5" s="415"/>
      <c r="W5" s="415"/>
      <c r="X5" s="415"/>
      <c r="Y5" s="415"/>
      <c r="Z5" s="415"/>
      <c r="AA5" s="158"/>
      <c r="AB5" s="158"/>
      <c r="AC5" s="159"/>
      <c r="AD5" s="159"/>
      <c r="AE5" s="158"/>
      <c r="AF5" s="158"/>
      <c r="AG5" s="159"/>
      <c r="AH5" s="159"/>
      <c r="AI5" s="159"/>
      <c r="AJ5" s="159"/>
      <c r="AK5" s="159"/>
      <c r="AL5" s="159"/>
      <c r="AM5" s="159"/>
      <c r="AN5" s="159"/>
      <c r="AO5" s="159"/>
      <c r="AP5" s="159"/>
      <c r="AQ5" s="159"/>
    </row>
    <row r="6" spans="1:45" s="151" customFormat="1" x14ac:dyDescent="0.2">
      <c r="A6" s="316"/>
      <c r="B6" s="316"/>
      <c r="D6" s="150"/>
      <c r="G6" s="150"/>
      <c r="J6" s="150"/>
      <c r="M6" s="150"/>
      <c r="P6" s="152"/>
      <c r="Q6" s="154"/>
      <c r="R6" s="154"/>
      <c r="S6" s="154"/>
      <c r="T6" s="154"/>
      <c r="U6" s="415"/>
      <c r="V6" s="415"/>
      <c r="W6" s="415"/>
      <c r="X6" s="415"/>
      <c r="Y6" s="415"/>
      <c r="Z6" s="415"/>
      <c r="AA6" s="158"/>
      <c r="AB6" s="158"/>
      <c r="AC6" s="159"/>
      <c r="AD6" s="159"/>
      <c r="AE6" s="158"/>
      <c r="AF6" s="158"/>
      <c r="AG6" s="159"/>
      <c r="AH6" s="159"/>
      <c r="AI6" s="159"/>
      <c r="AJ6" s="159"/>
      <c r="AK6" s="159"/>
      <c r="AL6" s="159"/>
      <c r="AM6" s="159"/>
      <c r="AN6" s="159"/>
      <c r="AO6" s="159"/>
      <c r="AP6" s="159"/>
      <c r="AQ6" s="159"/>
    </row>
    <row r="7" spans="1:45" s="151" customFormat="1" ht="13.5" thickBot="1" x14ac:dyDescent="0.25">
      <c r="D7" s="150"/>
      <c r="G7" s="150"/>
      <c r="J7" s="150"/>
      <c r="M7" s="150"/>
      <c r="P7" s="152"/>
      <c r="Q7" s="154"/>
      <c r="R7" s="154"/>
      <c r="S7" s="154"/>
      <c r="T7" s="154"/>
      <c r="U7" s="155"/>
      <c r="V7" s="155"/>
      <c r="W7" s="155"/>
      <c r="X7" s="155"/>
      <c r="AA7" s="160"/>
      <c r="AB7" s="160"/>
      <c r="AC7" s="160"/>
      <c r="AD7" s="160"/>
      <c r="AE7" s="160"/>
      <c r="AF7" s="160"/>
      <c r="AG7" s="160"/>
      <c r="AH7" s="160"/>
      <c r="AI7" s="161"/>
      <c r="AJ7" s="159"/>
      <c r="AK7" s="161"/>
      <c r="AL7" s="161"/>
      <c r="AM7" s="161"/>
      <c r="AN7" s="161"/>
      <c r="AO7" s="161"/>
      <c r="AP7" s="161"/>
      <c r="AQ7" s="161"/>
      <c r="AR7" s="160"/>
      <c r="AS7" s="160"/>
    </row>
    <row r="8" spans="1:45" s="151" customFormat="1" ht="13.5" thickBot="1" x14ac:dyDescent="0.25">
      <c r="A8" s="444" t="s">
        <v>24</v>
      </c>
      <c r="B8" s="445"/>
      <c r="C8" s="446"/>
      <c r="D8" s="417" t="s">
        <v>25</v>
      </c>
      <c r="E8" s="418"/>
      <c r="F8" s="419"/>
      <c r="G8" s="417" t="s">
        <v>26</v>
      </c>
      <c r="H8" s="418"/>
      <c r="I8" s="419"/>
      <c r="J8" s="417" t="s">
        <v>27</v>
      </c>
      <c r="K8" s="418"/>
      <c r="L8" s="419"/>
      <c r="M8" s="417" t="s">
        <v>28</v>
      </c>
      <c r="N8" s="418"/>
      <c r="O8" s="419"/>
      <c r="P8" s="417" t="s">
        <v>64</v>
      </c>
      <c r="Q8" s="418"/>
      <c r="R8" s="418"/>
      <c r="S8" s="418"/>
      <c r="T8" s="419"/>
      <c r="U8" s="420" t="s">
        <v>65</v>
      </c>
      <c r="V8" s="421"/>
      <c r="W8" s="422" t="s">
        <v>66</v>
      </c>
      <c r="X8" s="423"/>
      <c r="Y8" s="162" t="s">
        <v>201</v>
      </c>
      <c r="Z8" s="316" t="s">
        <v>84</v>
      </c>
      <c r="AA8" s="158"/>
      <c r="AB8" s="158"/>
      <c r="AC8" s="159"/>
      <c r="AD8" s="159"/>
      <c r="AE8" s="158"/>
      <c r="AF8" s="158"/>
      <c r="AG8" s="159"/>
      <c r="AH8" s="159"/>
      <c r="AI8" s="159"/>
      <c r="AJ8" s="159"/>
      <c r="AK8" s="159"/>
      <c r="AL8" s="159"/>
      <c r="AM8" s="159"/>
      <c r="AN8" s="159"/>
      <c r="AO8" s="159"/>
      <c r="AP8" s="159"/>
      <c r="AQ8" s="159"/>
    </row>
    <row r="9" spans="1:45" s="151" customFormat="1" ht="12.6" customHeight="1" x14ac:dyDescent="0.25">
      <c r="A9" s="430">
        <f>'Tournament Info'!C15</f>
        <v>1001</v>
      </c>
      <c r="B9" s="431"/>
      <c r="C9" s="432"/>
      <c r="D9" s="163" t="str">
        <f>IF(COUNTIF('Ballot Entry'!$M$3:$M$37,$A9)=1,"Π",IF(COUNTIF('Ballot Entry'!$N$3:$N$37,$A9)=1,"Δ",""))</f>
        <v>Δ</v>
      </c>
      <c r="E9" s="164" t="s">
        <v>30</v>
      </c>
      <c r="F9" s="165">
        <f>IFERROR(IF(D9="Π",VLOOKUP($A9, Round1P,2,FALSE),VLOOKUP($A9,Round1D,2,FALSE)),"")</f>
        <v>1029</v>
      </c>
      <c r="G9" s="163" t="str">
        <f>IF(COUNTIF('Ballot Entry'!$M$109:$M$143,$A9)=1,"Π",IF(COUNTIF('Ballot Entry'!$N$109:$N$143,$A9)=1,"Δ",""))</f>
        <v>Π</v>
      </c>
      <c r="H9" s="164" t="s">
        <v>30</v>
      </c>
      <c r="I9" s="165">
        <f>IFERROR(IF(G9="Π",VLOOKUP($A9, Round2P,2,FALSE),VLOOKUP($A9,Round2D,2,FALSE)),"")</f>
        <v>1258</v>
      </c>
      <c r="J9" s="163" t="str">
        <f>IF(COUNTIF('Ballot Entry'!$M$215:$M$249,$A9)=1,"Π",IF(COUNTIF('Ballot Entry'!$N$215:$N$249,$A9)=1,"Δ",""))</f>
        <v>Π</v>
      </c>
      <c r="K9" s="164" t="s">
        <v>30</v>
      </c>
      <c r="L9" s="165">
        <f>IFERROR(IF(J9="Π",VLOOKUP($A9, Round3P,2,FALSE),VLOOKUP($A9,Round3D,2,FALSE)),"")</f>
        <v>1577</v>
      </c>
      <c r="M9" s="163" t="str">
        <f>IF(COUNTIF('Ballot Entry'!$M$321:$M$355,$A9)=1,"Π",IF(COUNTIF('Ballot Entry'!$N$321:$N$355,$A9)=1,"Δ",""))</f>
        <v>Δ</v>
      </c>
      <c r="N9" s="164" t="s">
        <v>30</v>
      </c>
      <c r="O9" s="165">
        <f>IFERROR(IF(M9="Π",VLOOKUP($A9, Round4P,2,FALSE),VLOOKUP($A9,Round4D,2,FALSE)),"")</f>
        <v>1506</v>
      </c>
      <c r="P9" s="166">
        <f>COUNTIF(D10:O10,"W")</f>
        <v>3</v>
      </c>
      <c r="Q9" s="167" t="s">
        <v>34</v>
      </c>
      <c r="R9" s="168">
        <f>COUNTIF(D10:O10,"L")</f>
        <v>3</v>
      </c>
      <c r="S9" s="169" t="s">
        <v>34</v>
      </c>
      <c r="T9" s="170">
        <f>COUNTIF(D10:O10,"T")</f>
        <v>2</v>
      </c>
      <c r="U9" s="124">
        <f>IFERROR(VLOOKUP('Tab Summary'!F9,TeamRecord,4,FALSE ),0)</f>
        <v>4.5</v>
      </c>
      <c r="V9" s="125">
        <f>IFERROR(VLOOKUP('Tab Summary'!I9,TeamRecord,4,FALSE ),0)</f>
        <v>3</v>
      </c>
      <c r="W9" s="126">
        <f>IFERROR(VLOOKUP('Tab Summary'!F9,TeamRecord,6,FALSE ),0)</f>
        <v>16.5</v>
      </c>
      <c r="X9" s="124">
        <f>IFERROR(VLOOKUP('Tab Summary'!I9,TeamRecord,6,FALSE ),0)</f>
        <v>14.5</v>
      </c>
      <c r="Y9" s="171">
        <f>IF(COUNTIF('Ballot Entry'!$X$3:$X$221,(P9+(T9/2)))=2,IF((P9+(T9/2))=U9,IF(COUNTIF(D10:F10,"W")&gt;COUNTIF(D10:F10,"L"),F9,0),0)+IF((P9+(T9/2))=V9,IF(COUNTIF(G10:I10,"W")&gt;COUNTIF(G10:I10,"L"),I9,0),0)+IF((P9+(T9/2))=U10,IF(COUNTIF(J10:L10,"W")&gt;COUNTIF(J10:L10,"L"),L9,0),0)+IF((P9+(T9/2))=V10,IF(COUNTIF(M10:O10,"W")&gt;COUNTIF(M10:O10,"L"),O9,0),0),0)</f>
        <v>0</v>
      </c>
      <c r="Z9" s="171" t="str">
        <f>IF(Teams&gt;0,"Show", "Hide")</f>
        <v>Show</v>
      </c>
      <c r="AA9" s="158"/>
      <c r="AB9" s="158"/>
      <c r="AC9" s="159"/>
      <c r="AD9" s="159"/>
      <c r="AE9" s="158"/>
      <c r="AF9" s="158"/>
      <c r="AG9" s="159"/>
      <c r="AH9" s="159"/>
      <c r="AI9" s="159"/>
      <c r="AJ9" s="159"/>
      <c r="AK9" s="159"/>
      <c r="AL9" s="159"/>
      <c r="AM9" s="159"/>
      <c r="AN9" s="159"/>
      <c r="AO9" s="159"/>
      <c r="AP9" s="159"/>
      <c r="AQ9" s="159"/>
    </row>
    <row r="10" spans="1:45" s="151" customFormat="1" ht="12.75" customHeight="1" x14ac:dyDescent="0.25">
      <c r="A10" s="433" t="str">
        <f>'Tournament Info'!B15</f>
        <v>Virginia</v>
      </c>
      <c r="B10" s="434"/>
      <c r="C10" s="435"/>
      <c r="D10" s="172" t="str">
        <f t="shared" ref="D10:O10" si="0">IF(D11="","",IF(D11&gt;0,"W",IF(D11&lt;0,"L",IF(D11=0,"T"))))</f>
        <v>T</v>
      </c>
      <c r="E10" s="173" t="str">
        <f t="shared" si="0"/>
        <v/>
      </c>
      <c r="F10" s="174" t="str">
        <f t="shared" si="0"/>
        <v>W</v>
      </c>
      <c r="G10" s="172" t="str">
        <f t="shared" si="0"/>
        <v>W</v>
      </c>
      <c r="H10" s="173" t="str">
        <f t="shared" si="0"/>
        <v/>
      </c>
      <c r="I10" s="174" t="str">
        <f t="shared" si="0"/>
        <v>W</v>
      </c>
      <c r="J10" s="172" t="str">
        <f t="shared" si="0"/>
        <v>T</v>
      </c>
      <c r="K10" s="173" t="str">
        <f t="shared" si="0"/>
        <v/>
      </c>
      <c r="L10" s="174" t="str">
        <f t="shared" si="0"/>
        <v>L</v>
      </c>
      <c r="M10" s="172" t="str">
        <f t="shared" si="0"/>
        <v>L</v>
      </c>
      <c r="N10" s="173" t="str">
        <f t="shared" si="0"/>
        <v/>
      </c>
      <c r="O10" s="174" t="str">
        <f t="shared" si="0"/>
        <v>L</v>
      </c>
      <c r="P10" s="175" t="s">
        <v>35</v>
      </c>
      <c r="Q10" s="176"/>
      <c r="R10" s="176" t="s">
        <v>36</v>
      </c>
      <c r="S10" s="176"/>
      <c r="T10" s="177" t="s">
        <v>31</v>
      </c>
      <c r="U10" s="127">
        <f>IFERROR(VLOOKUP('Tab Summary'!L9,TeamRecord,4,FALSE ),0)</f>
        <v>7.5</v>
      </c>
      <c r="V10" s="128">
        <f>IFERROR(VLOOKUP('Tab Summary'!O9,TeamRecord,4,FALSE ),0)</f>
        <v>6</v>
      </c>
      <c r="W10" s="129">
        <f>IFERROR(VLOOKUP('Tab Summary'!L9,TeamRecord,6,FALSE ),0)</f>
        <v>13.5</v>
      </c>
      <c r="X10" s="127">
        <f>IFERROR(VLOOKUP('Tab Summary'!O9,TeamRecord,6,FALSE ),0)</f>
        <v>20</v>
      </c>
      <c r="Y10" s="171">
        <f>IF(Y9&lt;&gt;0,(IF(COUNTIF('Ballot Entry'!$Z$3:$Z$35,'Tab Summary'!P11)=2,IF(P11=W9,IF(COUNTIF(D10:F10,"W")&gt;COUNTIF(D10:F10,"L"),1,0),0)+IF(P11=X9,IF(COUNTIF(G10:I10,"W")&gt;COUNTIF(G10:I10,"L"),1,0),0)+IF(P11=W10,IF(COUNTIF(J10:L10,"W")&gt;COUNTIF(J10:L10,"L"),1,0),0)+IF(P11=X10,IF(COUNTIF(M10:O10,"W")&gt;COUNTIF(M10:O10,"L"),1,0),0),0)),0)</f>
        <v>0</v>
      </c>
      <c r="Z10" s="171" t="str">
        <f>IF(Teams&gt;0,"Show", "Hide")</f>
        <v>Show</v>
      </c>
      <c r="AA10" s="158"/>
      <c r="AB10" s="158"/>
      <c r="AC10" s="159"/>
      <c r="AD10" s="159"/>
      <c r="AE10" s="158"/>
      <c r="AF10" s="158"/>
      <c r="AG10" s="159"/>
      <c r="AH10" s="159"/>
      <c r="AI10" s="159"/>
      <c r="AJ10" s="159"/>
      <c r="AK10" s="159"/>
      <c r="AL10" s="159"/>
      <c r="AM10" s="159"/>
      <c r="AN10" s="159"/>
      <c r="AO10" s="159"/>
      <c r="AP10" s="159"/>
      <c r="AQ10" s="159"/>
    </row>
    <row r="11" spans="1:45" s="151" customFormat="1" ht="14.25" thickBot="1" x14ac:dyDescent="0.3">
      <c r="A11" s="436"/>
      <c r="B11" s="437"/>
      <c r="C11" s="438"/>
      <c r="D11" s="178">
        <f>IFERROR(IF(D9="Π",VLOOKUP($A9, Round1P,3,FALSE),VLOOKUP($A9,Round1D,3,FALSE)),"")</f>
        <v>0</v>
      </c>
      <c r="E11" s="179" t="str">
        <f>IFERROR(IF(Ballots=3,IF(D9="Π",VLOOKUP($A9, Round1P,5,FALSE),VLOOKUP($A9,Round1D,5,FALSE)),""),"")</f>
        <v/>
      </c>
      <c r="F11" s="180">
        <f>IFERROR(IF(D9="Π",VLOOKUP($A9, Round1P,4,FALSE),VLOOKUP($A9,Round1D,4,FALSE)),"")</f>
        <v>4</v>
      </c>
      <c r="G11" s="178">
        <f>IFERROR(IF(G9="Π",VLOOKUP($A9, Round2P,3,FALSE),VLOOKUP($A9,Round2D,3,FALSE)),"")</f>
        <v>2</v>
      </c>
      <c r="H11" s="179" t="str">
        <f>IFERROR(IF(Ballots=3,IF(G9="Π",VLOOKUP($A9, Round2P,5,FALSE),VLOOKUP($A9,Round2D,5,FALSE)),""),"")</f>
        <v/>
      </c>
      <c r="I11" s="180">
        <f>IFERROR(IF(G9="Π",VLOOKUP($A9, Round2P,4,FALSE),VLOOKUP($A9,Round2D,4,FALSE)),"")</f>
        <v>12</v>
      </c>
      <c r="J11" s="178">
        <f>IFERROR(IF(J9="Π",VLOOKUP($A9, Round3P,3,FALSE),VLOOKUP($A9,Round3D,3,FALSE)),"")</f>
        <v>0</v>
      </c>
      <c r="K11" s="179" t="str">
        <f>IFERROR(IF(Ballots=3,IF(J9="Π",VLOOKUP($A9, Round3P,5,FALSE),VLOOKUP($A9,Round3D,5,FALSE)),""),"")</f>
        <v/>
      </c>
      <c r="L11" s="180">
        <f>IFERROR(IF(J9="Π",VLOOKUP($A9, Round3P,4,FALSE),VLOOKUP($A9,Round3D,4,FALSE)),"")</f>
        <v>-5</v>
      </c>
      <c r="M11" s="178">
        <f>IFERROR(IF(M9="Π",VLOOKUP($A9, Round4P,3,FALSE),VLOOKUP($A9,Round4D,3,FALSE)),"")</f>
        <v>-10</v>
      </c>
      <c r="N11" s="179" t="str">
        <f>IFERROR(IF(Ballots=3,IF(M9="Π",VLOOKUP($A9, Round4P,5,FALSE),VLOOKUP($A9,Round4D,5,FALSE)),""),"")</f>
        <v/>
      </c>
      <c r="O11" s="180">
        <f>IFERROR(IF(M9="Π",VLOOKUP($A9, Round4P,4,FALSE),VLOOKUP($A9,Round4D,4,FALSE)),"")</f>
        <v>-1</v>
      </c>
      <c r="P11" s="181">
        <f>'Tab Summary'!U9+'Tab Summary'!V9+'Tab Summary'!U10+'Tab Summary'!V10</f>
        <v>21</v>
      </c>
      <c r="Q11" s="182"/>
      <c r="R11" s="183">
        <f>SUM('Tab Summary'!W9:X10)</f>
        <v>64.5</v>
      </c>
      <c r="S11" s="184"/>
      <c r="T11" s="185">
        <f>SUM(D11:O11)</f>
        <v>2</v>
      </c>
      <c r="U11" s="130" t="s">
        <v>67</v>
      </c>
      <c r="V11" s="131">
        <f>IF(D9="Π",COUNTIF(D10:F10,"W"),0)+IF(G9="Π",COUNTIF(G10:I10,"W"),0)+IF(J9="Π",COUNTIF(J10:L10,"W"),0)+IF(M9="Π",COUNTIF(M10:O10,"W"),0)</f>
        <v>2</v>
      </c>
      <c r="W11" s="132" t="s">
        <v>68</v>
      </c>
      <c r="X11" s="130">
        <f>IF(D9="Δ",COUNTIF(D10:F10,"W"),0)+IF(G9="Δ",COUNTIF(G10:I10,"W"),0)+IF(J9="Δ",COUNTIF(J10:L10,"W"),0)+IF(M9="Δ",COUNTIF(M10:O10,"W"),0)</f>
        <v>1</v>
      </c>
      <c r="Y11" s="171"/>
      <c r="Z11" s="171" t="str">
        <f>IF(Teams&gt;0,"Show", "Hide")</f>
        <v>Show</v>
      </c>
      <c r="AA11" s="158"/>
      <c r="AB11" s="158"/>
      <c r="AC11" s="159"/>
      <c r="AD11" s="159"/>
      <c r="AE11" s="158"/>
      <c r="AF11" s="158"/>
      <c r="AG11" s="159"/>
      <c r="AH11" s="159"/>
      <c r="AI11" s="159"/>
      <c r="AJ11" s="159"/>
      <c r="AK11" s="159"/>
      <c r="AL11" s="159"/>
      <c r="AM11" s="159"/>
      <c r="AN11" s="159"/>
      <c r="AO11" s="159"/>
      <c r="AP11" s="159"/>
      <c r="AQ11" s="159"/>
    </row>
    <row r="12" spans="1:45" s="151" customFormat="1" ht="12.75" customHeight="1" x14ac:dyDescent="0.25">
      <c r="A12" s="439">
        <f>'Tournament Info'!C16</f>
        <v>1029</v>
      </c>
      <c r="B12" s="440"/>
      <c r="C12" s="441"/>
      <c r="D12" s="186" t="str">
        <f>IF(COUNTIF('Ballot Entry'!$M$3:$M$37,$A12)=1,"Π",IF(COUNTIF('Ballot Entry'!$N$3:$N$37,$A12)=1,"Δ",""))</f>
        <v>Π</v>
      </c>
      <c r="E12" s="187" t="s">
        <v>30</v>
      </c>
      <c r="F12" s="188">
        <f>IFERROR(IF(D12="Π",VLOOKUP($A12, Round1P,2,FALSE),VLOOKUP($A12,Round1D,2,FALSE)),"")</f>
        <v>1001</v>
      </c>
      <c r="G12" s="186" t="str">
        <f>IF(COUNTIF('Ballot Entry'!$M$109:$M$143,$A12)=1,"Π",IF(COUNTIF('Ballot Entry'!$N$109:$N$143,$A12)=1,"Δ",""))</f>
        <v>Δ</v>
      </c>
      <c r="H12" s="187" t="s">
        <v>30</v>
      </c>
      <c r="I12" s="188">
        <f>IFERROR(IF(G12="Π",VLOOKUP($A12, Round2P,2,FALSE),VLOOKUP($A12,Round2D,2,FALSE)),"")</f>
        <v>1217</v>
      </c>
      <c r="J12" s="186" t="str">
        <f>IF(COUNTIF('Ballot Entry'!$M$215:$M$249,$A12)=1,"Π",IF(COUNTIF('Ballot Entry'!$N$215:$N$249,$A12)=1,"Δ",""))</f>
        <v>Δ</v>
      </c>
      <c r="K12" s="187" t="s">
        <v>30</v>
      </c>
      <c r="L12" s="188">
        <f>IFERROR(IF(J12="Π",VLOOKUP($A12, Round3P,2,FALSE),VLOOKUP($A12,Round3D,2,FALSE)),"")</f>
        <v>1262</v>
      </c>
      <c r="M12" s="186" t="str">
        <f>IF(COUNTIF('Ballot Entry'!$M$321:$M$355,$A12)=1,"Π",IF(COUNTIF('Ballot Entry'!$N$321:$N$355,$A12)=1,"Δ",""))</f>
        <v>Π</v>
      </c>
      <c r="N12" s="187" t="s">
        <v>30</v>
      </c>
      <c r="O12" s="188">
        <f>IFERROR(IF(M12="Π",VLOOKUP($A12, Round4P,2,FALSE),VLOOKUP($A12,Round4D,2,FALSE)),"")</f>
        <v>1616</v>
      </c>
      <c r="P12" s="189">
        <f>COUNTIF(D13:O13,"W")</f>
        <v>4</v>
      </c>
      <c r="Q12" s="190" t="s">
        <v>34</v>
      </c>
      <c r="R12" s="191">
        <f>COUNTIF(D13:O13,"L")</f>
        <v>3</v>
      </c>
      <c r="S12" s="192" t="s">
        <v>34</v>
      </c>
      <c r="T12" s="193">
        <f>COUNTIF(D13:O13,"T")</f>
        <v>1</v>
      </c>
      <c r="U12" s="124">
        <f>IFERROR(VLOOKUP('Tab Summary'!F12,TeamRecord,4,FALSE ),0)</f>
        <v>4</v>
      </c>
      <c r="V12" s="125">
        <f>IFERROR(VLOOKUP('Tab Summary'!I12,TeamRecord,4,FALSE ),0)</f>
        <v>2.5</v>
      </c>
      <c r="W12" s="126">
        <f>IFERROR(VLOOKUP('Tab Summary'!F12,TeamRecord,6,FALSE ),0)</f>
        <v>21</v>
      </c>
      <c r="X12" s="124">
        <f>IFERROR(VLOOKUP('Tab Summary'!I12,TeamRecord,6,FALSE ),0)</f>
        <v>12</v>
      </c>
      <c r="Y12" s="171">
        <f>IF(COUNTIF('Ballot Entry'!$X$3:$X$221,(P12+(T12/2)))=2,IF((P12+(T12/2))=U12,IF(COUNTIF(D13:F13,"W")&gt;COUNTIF(D13:F13,"L"),F12,0),0)+IF((P12+(T12/2))=V12,IF(COUNTIF(G13:I13,"W")&gt;COUNTIF(G13:I13,"L"),I12,0),0)+IF((P12+(T12/2))=U13,IF(COUNTIF(J13:L13,"W")&gt;COUNTIF(J13:L13,"L"),L12,0),0)+IF((P12+(T12/2))=V13,IF(COUNTIF(M13:O13,"W")&gt;COUNTIF(M13:O13,"L"),O12,0),0),0)</f>
        <v>0</v>
      </c>
      <c r="Z12" s="171" t="str">
        <f>IF(Teams&gt;1,"Show", "Hide")</f>
        <v>Show</v>
      </c>
      <c r="AA12" s="158"/>
      <c r="AB12" s="158"/>
      <c r="AC12" s="159"/>
      <c r="AD12" s="57"/>
      <c r="AE12" s="57"/>
      <c r="AF12" s="158"/>
      <c r="AG12" s="159"/>
      <c r="AH12" s="159"/>
      <c r="AI12" s="159"/>
      <c r="AJ12" s="159"/>
      <c r="AK12" s="159"/>
      <c r="AL12" s="159"/>
      <c r="AM12" s="159"/>
      <c r="AN12" s="159"/>
      <c r="AO12" s="159"/>
      <c r="AP12" s="159"/>
      <c r="AQ12" s="159"/>
    </row>
    <row r="13" spans="1:45" s="151" customFormat="1" ht="12.75" customHeight="1" x14ac:dyDescent="0.25">
      <c r="A13" s="424" t="str">
        <f>'Tournament Info'!B16</f>
        <v>Cornell</v>
      </c>
      <c r="B13" s="425"/>
      <c r="C13" s="426"/>
      <c r="D13" s="194" t="str">
        <f t="shared" ref="D13:O13" si="1">IF(D14="","",IF(D14&gt;0,"W",IF(D14&lt;0,"L",IF(D14=0,"T"))))</f>
        <v>T</v>
      </c>
      <c r="E13" s="195" t="str">
        <f t="shared" si="1"/>
        <v/>
      </c>
      <c r="F13" s="196" t="str">
        <f t="shared" si="1"/>
        <v>L</v>
      </c>
      <c r="G13" s="194" t="str">
        <f t="shared" si="1"/>
        <v>W</v>
      </c>
      <c r="H13" s="195" t="str">
        <f t="shared" si="1"/>
        <v/>
      </c>
      <c r="I13" s="196" t="str">
        <f t="shared" si="1"/>
        <v>W</v>
      </c>
      <c r="J13" s="194" t="str">
        <f t="shared" si="1"/>
        <v>W</v>
      </c>
      <c r="K13" s="195" t="str">
        <f t="shared" si="1"/>
        <v/>
      </c>
      <c r="L13" s="196" t="str">
        <f t="shared" si="1"/>
        <v>W</v>
      </c>
      <c r="M13" s="194" t="str">
        <f t="shared" si="1"/>
        <v>L</v>
      </c>
      <c r="N13" s="195" t="str">
        <f t="shared" si="1"/>
        <v/>
      </c>
      <c r="O13" s="196" t="str">
        <f t="shared" si="1"/>
        <v>L</v>
      </c>
      <c r="P13" s="197" t="s">
        <v>35</v>
      </c>
      <c r="Q13" s="198"/>
      <c r="R13" s="198" t="s">
        <v>36</v>
      </c>
      <c r="S13" s="198"/>
      <c r="T13" s="199" t="s">
        <v>31</v>
      </c>
      <c r="U13" s="127">
        <f>IFERROR(VLOOKUP('Tab Summary'!L12,TeamRecord,4,FALSE ),0)</f>
        <v>3.5</v>
      </c>
      <c r="V13" s="128">
        <f>IFERROR(VLOOKUP('Tab Summary'!O12,TeamRecord,4,FALSE ),0)</f>
        <v>6.5</v>
      </c>
      <c r="W13" s="129">
        <f>IFERROR(VLOOKUP('Tab Summary'!L12,TeamRecord,6,FALSE ),0)</f>
        <v>17.5</v>
      </c>
      <c r="X13" s="127">
        <f>IFERROR(VLOOKUP('Tab Summary'!O12,TeamRecord,6,FALSE ),0)</f>
        <v>17.5</v>
      </c>
      <c r="Y13" s="171">
        <f>IF(Y12&lt;&gt;0,(IF(COUNTIF('Ballot Entry'!$Z$3:$Z$35,'Tab Summary'!P14)=2,IF(P14=W12,IF(COUNTIF(D13:F13,"W")&gt;COUNTIF(D13:F13,"L"),1,0),0)+IF(P14=X12,IF(COUNTIF(G13:I13,"W")&gt;COUNTIF(G13:I13,"L"),1,0),0)+IF(P14=W13,IF(COUNTIF(J13:L13,"W")&gt;COUNTIF(J13:L13,"L"),1,0),0)+IF(P14=X13,IF(COUNTIF(M13:O13,"W")&gt;COUNTIF(M13:O13,"L"),1,0),0),0)),0)</f>
        <v>0</v>
      </c>
      <c r="Z13" s="171" t="str">
        <f>IF(Teams&gt;1,"Show", "Hide")</f>
        <v>Show</v>
      </c>
      <c r="AA13" s="158"/>
      <c r="AB13" s="158"/>
      <c r="AC13" s="159"/>
      <c r="AD13" s="159"/>
      <c r="AE13" s="158"/>
      <c r="AF13" s="158"/>
      <c r="AG13" s="159"/>
      <c r="AH13" s="159"/>
      <c r="AI13" s="159"/>
      <c r="AJ13" s="159"/>
      <c r="AK13" s="159"/>
      <c r="AL13" s="159"/>
      <c r="AM13" s="159"/>
      <c r="AN13" s="159"/>
      <c r="AO13" s="159"/>
      <c r="AP13" s="159"/>
      <c r="AQ13" s="159"/>
    </row>
    <row r="14" spans="1:45" s="151" customFormat="1" ht="14.25" thickBot="1" x14ac:dyDescent="0.3">
      <c r="A14" s="427"/>
      <c r="B14" s="428"/>
      <c r="C14" s="429"/>
      <c r="D14" s="200">
        <f>IFERROR(IF(D12="Π",VLOOKUP($A12, Round1P,3,FALSE),VLOOKUP($A12,Round1D,3,FALSE)),"")</f>
        <v>0</v>
      </c>
      <c r="E14" s="201" t="str">
        <f>IFERROR(IF(Ballots=3,IF(D12="Π",VLOOKUP($A12, Round1P,5,FALSE),VLOOKUP($A12,Round1D,5,FALSE)),""),"")</f>
        <v/>
      </c>
      <c r="F14" s="202">
        <f>IFERROR(IF(D12="Π",VLOOKUP($A12, Round1P,4,FALSE),VLOOKUP($A12,Round1D,4,FALSE)),"")</f>
        <v>-4</v>
      </c>
      <c r="G14" s="200">
        <f>IFERROR(IF(G12="Π",VLOOKUP($A12, Round2P,3,FALSE),VLOOKUP($A12,Round2D,3,FALSE)),"")</f>
        <v>6</v>
      </c>
      <c r="H14" s="201" t="str">
        <f>IFERROR(IF(Ballots=3,IF(G12="Π",VLOOKUP($A12, Round2P,5,FALSE),VLOOKUP($A12,Round2D,5,FALSE)),""),"")</f>
        <v/>
      </c>
      <c r="I14" s="202">
        <f>IFERROR(IF(G12="Π",VLOOKUP($A12, Round2P,4,FALSE),VLOOKUP($A12,Round2D,4,FALSE)),"")</f>
        <v>3</v>
      </c>
      <c r="J14" s="200">
        <f>IFERROR(IF(J12="Π",VLOOKUP($A12, Round3P,3,FALSE),VLOOKUP($A12,Round3D,3,FALSE)),"")</f>
        <v>3</v>
      </c>
      <c r="K14" s="201" t="str">
        <f>IFERROR(IF(Ballots=3,IF(J12="Π",VLOOKUP($A12, Round3P,5,FALSE),VLOOKUP($A12,Round3D,5,FALSE)),""),"")</f>
        <v/>
      </c>
      <c r="L14" s="202">
        <f>IFERROR(IF(J12="Π",VLOOKUP($A12, Round3P,4,FALSE),VLOOKUP($A12,Round3D,4,FALSE)),"")</f>
        <v>14</v>
      </c>
      <c r="M14" s="200">
        <f>IFERROR(IF(M12="Π",VLOOKUP($A12, Round4P,3,FALSE),VLOOKUP($A12,Round4D,3,FALSE)),"")</f>
        <v>-6</v>
      </c>
      <c r="N14" s="201" t="str">
        <f>IFERROR(IF(Ballots=3,IF(M12="Π",VLOOKUP($A12, Round4P,5,FALSE),VLOOKUP($A12,Round4D,5,FALSE)),""),"")</f>
        <v/>
      </c>
      <c r="O14" s="202">
        <f>IFERROR(IF(M12="Π",VLOOKUP($A12, Round4P,4,FALSE),VLOOKUP($A12,Round4D,4,FALSE)),"")</f>
        <v>-3</v>
      </c>
      <c r="P14" s="203">
        <f>'Tab Summary'!U12+'Tab Summary'!V12+'Tab Summary'!U13+'Tab Summary'!V13</f>
        <v>16.5</v>
      </c>
      <c r="Q14" s="204"/>
      <c r="R14" s="205">
        <f>SUM('Tab Summary'!W12:X13)</f>
        <v>68</v>
      </c>
      <c r="S14" s="206"/>
      <c r="T14" s="207">
        <f>SUM(D14:O14)</f>
        <v>13</v>
      </c>
      <c r="U14" s="130" t="s">
        <v>67</v>
      </c>
      <c r="V14" s="131">
        <f>IF(D12="Π",COUNTIF(D13:F13,"W"),0)+IF(G12="Π",COUNTIF(G13:I13,"W"),0)+IF(J12="Π",COUNTIF(J13:L13,"W"),0)+IF(M12="Π",COUNTIF(M13:O13,"W"),0)</f>
        <v>0</v>
      </c>
      <c r="W14" s="132" t="s">
        <v>68</v>
      </c>
      <c r="X14" s="130">
        <f>IF(D12="Δ",COUNTIF(D13:F13,"W"),0)+IF(G12="Δ",COUNTIF(G13:I13,"W"),0)+IF(J12="Δ",COUNTIF(J13:L13,"W"),0)+IF(M12="Δ",COUNTIF(M13:O13,"W"),0)</f>
        <v>4</v>
      </c>
      <c r="Y14" s="171"/>
      <c r="Z14" s="171" t="str">
        <f>IF(Teams&gt;1,"Show", "Hide")</f>
        <v>Show</v>
      </c>
      <c r="AA14" s="158"/>
      <c r="AB14" s="158"/>
      <c r="AC14" s="159"/>
      <c r="AD14" s="159"/>
      <c r="AE14" s="158"/>
      <c r="AF14" s="158"/>
      <c r="AG14" s="159"/>
      <c r="AH14" s="159"/>
      <c r="AI14" s="159"/>
      <c r="AJ14" s="159"/>
      <c r="AK14" s="159"/>
      <c r="AL14" s="159"/>
      <c r="AM14" s="159"/>
      <c r="AN14" s="159"/>
      <c r="AO14" s="159"/>
      <c r="AP14" s="159"/>
      <c r="AQ14" s="159"/>
    </row>
    <row r="15" spans="1:45" s="151" customFormat="1" ht="12.75" customHeight="1" x14ac:dyDescent="0.25">
      <c r="A15" s="430">
        <f>'Tournament Info'!C17</f>
        <v>1051</v>
      </c>
      <c r="B15" s="431"/>
      <c r="C15" s="432"/>
      <c r="D15" s="163" t="str">
        <f>IF(COUNTIF('Ballot Entry'!$M$3:$M$37,$A15)=1,"Π",IF(COUNTIF('Ballot Entry'!$N$3:$N$37,$A15)=1,"Δ",""))</f>
        <v>Δ</v>
      </c>
      <c r="E15" s="164" t="s">
        <v>30</v>
      </c>
      <c r="F15" s="165">
        <f>IFERROR(IF(D15="Π",VLOOKUP($A15, Round1P,2,FALSE),VLOOKUP($A15,Round1D,2,FALSE)),"")</f>
        <v>1489</v>
      </c>
      <c r="G15" s="163" t="str">
        <f>IF(COUNTIF('Ballot Entry'!$M$109:$M$143,$A15)=1,"Π",IF(COUNTIF('Ballot Entry'!$N$109:$N$143,$A15)=1,"Δ",""))</f>
        <v>Π</v>
      </c>
      <c r="H15" s="164" t="s">
        <v>30</v>
      </c>
      <c r="I15" s="165">
        <f>IFERROR(IF(G15="Π",VLOOKUP($A15, Round2P,2,FALSE),VLOOKUP($A15,Round2D,2,FALSE)),"")</f>
        <v>1577</v>
      </c>
      <c r="J15" s="163" t="str">
        <f>IF(COUNTIF('Ballot Entry'!$M$215:$M$249,$A15)=1,"Π",IF(COUNTIF('Ballot Entry'!$N$215:$N$249,$A15)=1,"Δ",""))</f>
        <v>Δ</v>
      </c>
      <c r="K15" s="164" t="s">
        <v>30</v>
      </c>
      <c r="L15" s="165">
        <f>IFERROR(IF(J15="Π",VLOOKUP($A15, Round3P,2,FALSE),VLOOKUP($A15,Round3D,2,FALSE)),"")</f>
        <v>1268</v>
      </c>
      <c r="M15" s="163" t="str">
        <f>IF(COUNTIF('Ballot Entry'!$M$321:$M$355,$A15)=1,"Π",IF(COUNTIF('Ballot Entry'!$N$321:$N$355,$A15)=1,"Δ",""))</f>
        <v>Π</v>
      </c>
      <c r="N15" s="164" t="s">
        <v>30</v>
      </c>
      <c r="O15" s="165">
        <f>IFERROR(IF(M15="Π",VLOOKUP($A15, Round4P,2,FALSE),VLOOKUP($A15,Round4D,2,FALSE)),"")</f>
        <v>1217</v>
      </c>
      <c r="P15" s="166">
        <f>COUNTIF(D16:O16,"W")</f>
        <v>1</v>
      </c>
      <c r="Q15" s="167" t="s">
        <v>34</v>
      </c>
      <c r="R15" s="168">
        <f>COUNTIF(D16:O16,"L")</f>
        <v>7</v>
      </c>
      <c r="S15" s="169" t="s">
        <v>34</v>
      </c>
      <c r="T15" s="170">
        <f>COUNTIF(D16:O16,"T")</f>
        <v>0</v>
      </c>
      <c r="U15" s="124">
        <f>IFERROR(VLOOKUP('Tab Summary'!F15,TeamRecord,4,FALSE ),0)</f>
        <v>1</v>
      </c>
      <c r="V15" s="125">
        <f>IFERROR(VLOOKUP('Tab Summary'!I15,TeamRecord,4,FALSE ),0)</f>
        <v>7.5</v>
      </c>
      <c r="W15" s="126">
        <f>IFERROR(VLOOKUP('Tab Summary'!F15,TeamRecord,6,FALSE ),0)</f>
        <v>14</v>
      </c>
      <c r="X15" s="124">
        <f>IFERROR(VLOOKUP('Tab Summary'!I15,TeamRecord,6,FALSE ),0)</f>
        <v>13.5</v>
      </c>
      <c r="Y15" s="171">
        <f>IF(COUNTIF('Ballot Entry'!$X$3:$X$221,(P15+(T15/2)))=2,IF((P15+(T15/2))=U15,IF(COUNTIF(D16:F16,"W")&gt;COUNTIF(D16:F16,"L"),F15,0),0)+IF((P15+(T15/2))=V15,IF(COUNTIF(G16:I16,"W")&gt;COUNTIF(G16:I16,"L"),I15,0),0)+IF((P15+(T15/2))=U16,IF(COUNTIF(J16:L16,"W")&gt;COUNTIF(J16:L16,"L"),L15,0),0)+IF((P15+(T15/2))=V16,IF(COUNTIF(M16:O16,"W")&gt;COUNTIF(M16:O16,"L"),O15,0),0),0)</f>
        <v>0</v>
      </c>
      <c r="Z15" s="171" t="str">
        <f>IF(Teams&gt;2,"Show", "Hide")</f>
        <v>Show</v>
      </c>
      <c r="AA15" s="158"/>
      <c r="AB15" s="158"/>
      <c r="AC15" s="159"/>
      <c r="AD15" s="159"/>
      <c r="AE15" s="158"/>
      <c r="AF15" s="158"/>
      <c r="AG15" s="159"/>
      <c r="AH15" s="159"/>
      <c r="AI15" s="159"/>
      <c r="AJ15" s="159"/>
      <c r="AK15" s="159"/>
      <c r="AL15" s="159"/>
      <c r="AM15" s="159"/>
      <c r="AN15" s="159"/>
      <c r="AO15" s="159"/>
      <c r="AP15" s="159"/>
      <c r="AQ15" s="159"/>
    </row>
    <row r="16" spans="1:45" s="151" customFormat="1" ht="12.75" customHeight="1" x14ac:dyDescent="0.25">
      <c r="A16" s="433" t="str">
        <f>'Tournament Info'!B17</f>
        <v>Haverford</v>
      </c>
      <c r="B16" s="434"/>
      <c r="C16" s="435"/>
      <c r="D16" s="172" t="str">
        <f t="shared" ref="D16:O16" si="2">IF(D17="","",IF(D17&gt;0,"W",IF(D17&lt;0,"L",IF(D17=0,"T"))))</f>
        <v>L</v>
      </c>
      <c r="E16" s="173" t="str">
        <f t="shared" si="2"/>
        <v/>
      </c>
      <c r="F16" s="174" t="str">
        <f t="shared" si="2"/>
        <v>W</v>
      </c>
      <c r="G16" s="172" t="str">
        <f t="shared" si="2"/>
        <v>L</v>
      </c>
      <c r="H16" s="173" t="str">
        <f t="shared" si="2"/>
        <v/>
      </c>
      <c r="I16" s="174" t="str">
        <f t="shared" si="2"/>
        <v>L</v>
      </c>
      <c r="J16" s="172" t="str">
        <f t="shared" si="2"/>
        <v>L</v>
      </c>
      <c r="K16" s="173" t="str">
        <f t="shared" si="2"/>
        <v/>
      </c>
      <c r="L16" s="174" t="str">
        <f t="shared" si="2"/>
        <v>L</v>
      </c>
      <c r="M16" s="172" t="str">
        <f t="shared" si="2"/>
        <v>L</v>
      </c>
      <c r="N16" s="173" t="str">
        <f t="shared" si="2"/>
        <v/>
      </c>
      <c r="O16" s="174" t="str">
        <f t="shared" si="2"/>
        <v>L</v>
      </c>
      <c r="P16" s="175" t="s">
        <v>35</v>
      </c>
      <c r="Q16" s="176"/>
      <c r="R16" s="176" t="s">
        <v>36</v>
      </c>
      <c r="S16" s="176"/>
      <c r="T16" s="177" t="s">
        <v>31</v>
      </c>
      <c r="U16" s="127">
        <f>IFERROR(VLOOKUP('Tab Summary'!L15,TeamRecord,4,FALSE ),0)</f>
        <v>5</v>
      </c>
      <c r="V16" s="128">
        <f>IFERROR(VLOOKUP('Tab Summary'!O15,TeamRecord,4,FALSE ),0)</f>
        <v>2.5</v>
      </c>
      <c r="W16" s="129">
        <f>IFERROR(VLOOKUP('Tab Summary'!L15,TeamRecord,6,FALSE ),0)</f>
        <v>14.5</v>
      </c>
      <c r="X16" s="127">
        <f>IFERROR(VLOOKUP('Tab Summary'!O15,TeamRecord,6,FALSE ),0)</f>
        <v>12</v>
      </c>
      <c r="Y16" s="171">
        <f>IF(Y15&lt;&gt;0,(IF(COUNTIF('Ballot Entry'!$Z$3:$Z$35,'Tab Summary'!P17)=2,IF(P17=W15,IF(COUNTIF(D16:F16,"W")&gt;COUNTIF(D16:F16,"L"),1,0),0)+IF(P17=X15,IF(COUNTIF(G16:I16,"W")&gt;COUNTIF(G16:I16,"L"),1,0),0)+IF(P17=W16,IF(COUNTIF(J16:L16,"W")&gt;COUNTIF(J16:L16,"L"),1,0),0)+IF(P17=X16,IF(COUNTIF(M16:O16,"W")&gt;COUNTIF(M16:O16,"L"),1,0),0),0)),0)</f>
        <v>0</v>
      </c>
      <c r="Z16" s="171" t="str">
        <f>IF(Teams&gt;2,"Show", "Hide")</f>
        <v>Show</v>
      </c>
      <c r="AA16" s="158"/>
      <c r="AB16" s="158"/>
      <c r="AC16" s="159"/>
      <c r="AD16" s="159"/>
      <c r="AE16" s="158"/>
      <c r="AF16" s="158"/>
      <c r="AG16" s="159"/>
      <c r="AH16" s="159"/>
      <c r="AI16" s="159"/>
      <c r="AJ16" s="159"/>
      <c r="AK16" s="159"/>
      <c r="AL16" s="159"/>
      <c r="AM16" s="159"/>
      <c r="AN16" s="159"/>
      <c r="AO16" s="159"/>
      <c r="AP16" s="159"/>
      <c r="AQ16" s="159"/>
    </row>
    <row r="17" spans="1:43" s="151" customFormat="1" ht="13.5" customHeight="1" thickBot="1" x14ac:dyDescent="0.3">
      <c r="A17" s="436"/>
      <c r="B17" s="437"/>
      <c r="C17" s="438"/>
      <c r="D17" s="178">
        <f>IFERROR(IF(D15="Π",VLOOKUP($A15, Round1P,3,FALSE),VLOOKUP($A15,Round1D,3,FALSE)),"")</f>
        <v>-2</v>
      </c>
      <c r="E17" s="179" t="str">
        <f>IFERROR(IF(Ballots=3,IF(D15="Π",VLOOKUP($A15, Round1P,5,FALSE),VLOOKUP($A15,Round1D,5,FALSE)),""),"")</f>
        <v/>
      </c>
      <c r="F17" s="180">
        <f>IFERROR(IF(D15="Π",VLOOKUP($A15, Round1P,4,FALSE),VLOOKUP($A15,Round1D,4,FALSE)),"")</f>
        <v>4</v>
      </c>
      <c r="G17" s="178">
        <f>IFERROR(IF(G15="Π",VLOOKUP($A15, Round2P,3,FALSE),VLOOKUP($A15,Round2D,3,FALSE)),"")</f>
        <v>-6</v>
      </c>
      <c r="H17" s="179" t="str">
        <f>IFERROR(IF(Ballots=3,IF(G15="Π",VLOOKUP($A15, Round2P,5,FALSE),VLOOKUP($A15,Round2D,5,FALSE)),""),"")</f>
        <v/>
      </c>
      <c r="I17" s="180">
        <f>IFERROR(IF(G15="Π",VLOOKUP($A15, Round2P,4,FALSE),VLOOKUP($A15,Round2D,4,FALSE)),"")</f>
        <v>-13</v>
      </c>
      <c r="J17" s="178">
        <f>IFERROR(IF(J15="Π",VLOOKUP($A15, Round3P,3,FALSE),VLOOKUP($A15,Round3D,3,FALSE)),"")</f>
        <v>-24</v>
      </c>
      <c r="K17" s="179" t="str">
        <f>IFERROR(IF(Ballots=3,IF(J15="Π",VLOOKUP($A15, Round3P,5,FALSE),VLOOKUP($A15,Round3D,5,FALSE)),""),"")</f>
        <v/>
      </c>
      <c r="L17" s="180">
        <f>IFERROR(IF(J15="Π",VLOOKUP($A15, Round3P,4,FALSE),VLOOKUP($A15,Round3D,4,FALSE)),"")</f>
        <v>-15</v>
      </c>
      <c r="M17" s="178">
        <f>IFERROR(IF(M15="Π",VLOOKUP($A15, Round4P,3,FALSE),VLOOKUP($A15,Round4D,3,FALSE)),"")</f>
        <v>-16</v>
      </c>
      <c r="N17" s="179" t="str">
        <f>IFERROR(IF(Ballots=3,IF(M15="Π",VLOOKUP($A15, Round4P,5,FALSE),VLOOKUP($A15,Round4D,5,FALSE)),""),"")</f>
        <v/>
      </c>
      <c r="O17" s="180">
        <f>IFERROR(IF(M15="Π",VLOOKUP($A15, Round4P,4,FALSE),VLOOKUP($A15,Round4D,4,FALSE)),"")</f>
        <v>-2</v>
      </c>
      <c r="P17" s="181">
        <f>'Tab Summary'!U15+'Tab Summary'!V15+'Tab Summary'!U16+'Tab Summary'!V16</f>
        <v>16</v>
      </c>
      <c r="Q17" s="182"/>
      <c r="R17" s="183">
        <f>SUM('Tab Summary'!W15:X16)</f>
        <v>54</v>
      </c>
      <c r="S17" s="184"/>
      <c r="T17" s="185">
        <f>SUM(D17:O17)</f>
        <v>-74</v>
      </c>
      <c r="U17" s="130" t="s">
        <v>67</v>
      </c>
      <c r="V17" s="131">
        <f>IF(D15="Π",COUNTIF(D16:F16,"W"),0)+IF(G15="Π",COUNTIF(G16:I16,"W"),0)+IF(J15="Π",COUNTIF(J16:L16,"W"),0)+IF(M15="Π",COUNTIF(M16:O16,"W"),0)</f>
        <v>0</v>
      </c>
      <c r="W17" s="132" t="s">
        <v>68</v>
      </c>
      <c r="X17" s="130">
        <f>IF(D15="Δ",COUNTIF(D16:F16,"W"),0)+IF(G15="Δ",COUNTIF(G16:I16,"W"),0)+IF(J15="Δ",COUNTIF(J16:L16,"W"),0)+IF(M15="Δ",COUNTIF(M16:O16,"W"),0)</f>
        <v>1</v>
      </c>
      <c r="Y17" s="171"/>
      <c r="Z17" s="171" t="str">
        <f>IF(Teams&gt;2,"Show", "Hide")</f>
        <v>Show</v>
      </c>
      <c r="AA17" s="158"/>
      <c r="AB17" s="158"/>
      <c r="AC17" s="159"/>
      <c r="AD17" s="159"/>
      <c r="AE17" s="158"/>
      <c r="AF17" s="158"/>
      <c r="AG17" s="159"/>
      <c r="AH17" s="159"/>
      <c r="AI17" s="159"/>
      <c r="AJ17" s="159"/>
      <c r="AK17" s="159"/>
      <c r="AL17" s="159"/>
      <c r="AM17" s="159"/>
      <c r="AN17" s="159"/>
      <c r="AO17" s="159"/>
      <c r="AP17" s="159"/>
      <c r="AQ17" s="159"/>
    </row>
    <row r="18" spans="1:43" s="151" customFormat="1" ht="12.75" customHeight="1" x14ac:dyDescent="0.25">
      <c r="A18" s="439">
        <f>'Tournament Info'!C18</f>
        <v>1078</v>
      </c>
      <c r="B18" s="440"/>
      <c r="C18" s="441"/>
      <c r="D18" s="186" t="str">
        <f>IF(COUNTIF('Ballot Entry'!$M$3:$M$37,$A18)=1,"Π",IF(COUNTIF('Ballot Entry'!$N$3:$N$37,$A18)=1,"Δ",""))</f>
        <v>Δ</v>
      </c>
      <c r="E18" s="187" t="s">
        <v>30</v>
      </c>
      <c r="F18" s="188">
        <f>IFERROR(IF(D18="Π",VLOOKUP($A18, Round1P,2,FALSE),VLOOKUP($A18,Round1D,2,FALSE)),"")</f>
        <v>1268</v>
      </c>
      <c r="G18" s="186" t="str">
        <f>IF(COUNTIF('Ballot Entry'!$M$109:$M$143,$A18)=1,"Π",IF(COUNTIF('Ballot Entry'!$N$109:$N$143,$A18)=1,"Δ",""))</f>
        <v>Π</v>
      </c>
      <c r="H18" s="187" t="s">
        <v>30</v>
      </c>
      <c r="I18" s="188">
        <f>IFERROR(IF(G18="Π",VLOOKUP($A18, Round2P,2,FALSE),VLOOKUP($A18,Round2D,2,FALSE)),"")</f>
        <v>1506</v>
      </c>
      <c r="J18" s="186" t="str">
        <f>IF(COUNTIF('Ballot Entry'!$M$215:$M$249,$A18)=1,"Π",IF(COUNTIF('Ballot Entry'!$N$215:$N$249,$A18)=1,"Δ",""))</f>
        <v>Δ</v>
      </c>
      <c r="K18" s="187" t="s">
        <v>30</v>
      </c>
      <c r="L18" s="188">
        <f>IFERROR(IF(J18="Π",VLOOKUP($A18, Round3P,2,FALSE),VLOOKUP($A18,Round3D,2,FALSE)),"")</f>
        <v>1517</v>
      </c>
      <c r="M18" s="186" t="str">
        <f>IF(COUNTIF('Ballot Entry'!$M$321:$M$355,$A18)=1,"Π",IF(COUNTIF('Ballot Entry'!$N$321:$N$355,$A18)=1,"Δ",""))</f>
        <v>Π</v>
      </c>
      <c r="N18" s="187" t="s">
        <v>30</v>
      </c>
      <c r="O18" s="188">
        <f>IFERROR(IF(M18="Π",VLOOKUP($A18, Round4P,2,FALSE),VLOOKUP($A18,Round4D,2,FALSE)),"")</f>
        <v>1262</v>
      </c>
      <c r="P18" s="189">
        <f>COUNTIF(D19:O19,"W")</f>
        <v>4</v>
      </c>
      <c r="Q18" s="190" t="s">
        <v>34</v>
      </c>
      <c r="R18" s="191">
        <f>COUNTIF(D19:O19,"L")</f>
        <v>3</v>
      </c>
      <c r="S18" s="192" t="s">
        <v>34</v>
      </c>
      <c r="T18" s="193">
        <f>COUNTIF(D19:O19,"T")</f>
        <v>1</v>
      </c>
      <c r="U18" s="124">
        <f>IFERROR(VLOOKUP('Tab Summary'!F18,TeamRecord,4,FALSE ),0)</f>
        <v>5</v>
      </c>
      <c r="V18" s="125">
        <f>IFERROR(VLOOKUP('Tab Summary'!I18,TeamRecord,4,FALSE ),0)</f>
        <v>6</v>
      </c>
      <c r="W18" s="126">
        <f>IFERROR(VLOOKUP('Tab Summary'!F18,TeamRecord,6,FALSE ),0)</f>
        <v>14.5</v>
      </c>
      <c r="X18" s="124">
        <f>IFERROR(VLOOKUP('Tab Summary'!I18,TeamRecord,6,FALSE ),0)</f>
        <v>20</v>
      </c>
      <c r="Y18" s="171">
        <f>IF(COUNTIF('Ballot Entry'!$X$3:$X$221,(P18+(T18/2)))=2,IF((P18+(T18/2))=U18,IF(COUNTIF(D19:F19,"W")&gt;COUNTIF(D19:F19,"L"),F18,0),0)+IF((P18+(T18/2))=V18,IF(COUNTIF(G19:I19,"W")&gt;COUNTIF(G19:I19,"L"),I18,0),0)+IF((P18+(T18/2))=U19,IF(COUNTIF(J19:L19,"W")&gt;COUNTIF(J19:L19,"L"),L18,0),0)+IF((P18+(T18/2))=V19,IF(COUNTIF(M19:O19,"W")&gt;COUNTIF(M19:O19,"L"),O18,0),0),0)</f>
        <v>0</v>
      </c>
      <c r="Z18" s="171" t="str">
        <f>IF(Teams&gt;3,"Show", "Hide")</f>
        <v>Show</v>
      </c>
      <c r="AA18" s="158"/>
      <c r="AB18" s="158"/>
      <c r="AC18" s="159"/>
      <c r="AD18" s="159"/>
      <c r="AE18" s="158"/>
      <c r="AF18" s="158"/>
      <c r="AG18" s="159"/>
      <c r="AH18" s="159"/>
      <c r="AI18" s="159"/>
      <c r="AJ18" s="159"/>
      <c r="AK18" s="159"/>
      <c r="AL18" s="159"/>
      <c r="AM18" s="159"/>
      <c r="AN18" s="159"/>
      <c r="AO18" s="159"/>
      <c r="AP18" s="159"/>
      <c r="AQ18" s="159"/>
    </row>
    <row r="19" spans="1:43" s="151" customFormat="1" ht="12.75" customHeight="1" x14ac:dyDescent="0.25">
      <c r="A19" s="424" t="str">
        <f>'Tournament Info'!B18</f>
        <v>Rhodes</v>
      </c>
      <c r="B19" s="425"/>
      <c r="C19" s="426"/>
      <c r="D19" s="194" t="str">
        <f t="shared" ref="D19:O19" si="3">IF(D20="","",IF(D20&gt;0,"W",IF(D20&lt;0,"L",IF(D20=0,"T"))))</f>
        <v>W</v>
      </c>
      <c r="E19" s="195" t="str">
        <f t="shared" si="3"/>
        <v/>
      </c>
      <c r="F19" s="196" t="str">
        <f t="shared" si="3"/>
        <v>W</v>
      </c>
      <c r="G19" s="194" t="str">
        <f t="shared" si="3"/>
        <v>L</v>
      </c>
      <c r="H19" s="195" t="str">
        <f t="shared" si="3"/>
        <v/>
      </c>
      <c r="I19" s="196" t="str">
        <f t="shared" si="3"/>
        <v>W</v>
      </c>
      <c r="J19" s="194" t="str">
        <f t="shared" si="3"/>
        <v>L</v>
      </c>
      <c r="K19" s="195" t="str">
        <f t="shared" si="3"/>
        <v/>
      </c>
      <c r="L19" s="196" t="str">
        <f t="shared" si="3"/>
        <v>T</v>
      </c>
      <c r="M19" s="194" t="str">
        <f t="shared" si="3"/>
        <v>L</v>
      </c>
      <c r="N19" s="195" t="str">
        <f t="shared" si="3"/>
        <v/>
      </c>
      <c r="O19" s="196" t="str">
        <f t="shared" si="3"/>
        <v>W</v>
      </c>
      <c r="P19" s="197" t="s">
        <v>35</v>
      </c>
      <c r="Q19" s="198"/>
      <c r="R19" s="198" t="s">
        <v>36</v>
      </c>
      <c r="S19" s="198"/>
      <c r="T19" s="199" t="s">
        <v>31</v>
      </c>
      <c r="U19" s="127">
        <f>IFERROR(VLOOKUP('Tab Summary'!L18,TeamRecord,4,FALSE ),0)</f>
        <v>4.5</v>
      </c>
      <c r="V19" s="128">
        <f>IFERROR(VLOOKUP('Tab Summary'!O18,TeamRecord,4,FALSE ),0)</f>
        <v>3.5</v>
      </c>
      <c r="W19" s="129">
        <f>IFERROR(VLOOKUP('Tab Summary'!L18,TeamRecord,6,FALSE ),0)</f>
        <v>17</v>
      </c>
      <c r="X19" s="127">
        <f>IFERROR(VLOOKUP('Tab Summary'!O18,TeamRecord,6,FALSE ),0)</f>
        <v>17.5</v>
      </c>
      <c r="Y19" s="171">
        <f>IF(Y18&lt;&gt;0,(IF(COUNTIF('Ballot Entry'!$Z$3:$Z$35,'Tab Summary'!P20)=2,IF(P20=W18,IF(COUNTIF(D19:F19,"W")&gt;COUNTIF(D19:F19,"L"),1,0),0)+IF(P20=X18,IF(COUNTIF(G19:I19,"W")&gt;COUNTIF(G19:I19,"L"),1,0),0)+IF(P20=W19,IF(COUNTIF(J19:L19,"W")&gt;COUNTIF(J19:L19,"L"),1,0),0)+IF(P20=X19,IF(COUNTIF(M19:O19,"W")&gt;COUNTIF(M19:O19,"L"),1,0),0),0)),0)</f>
        <v>0</v>
      </c>
      <c r="Z19" s="171" t="str">
        <f>IF(Teams&gt;3,"Show", "Hide")</f>
        <v>Show</v>
      </c>
      <c r="AA19" s="158"/>
      <c r="AB19" s="158"/>
      <c r="AC19" s="159"/>
      <c r="AD19" s="159"/>
      <c r="AE19" s="158"/>
      <c r="AF19" s="158"/>
      <c r="AG19" s="159"/>
      <c r="AH19" s="159"/>
      <c r="AI19" s="159"/>
      <c r="AJ19" s="159"/>
      <c r="AK19" s="159"/>
      <c r="AL19" s="159"/>
      <c r="AM19" s="159"/>
      <c r="AN19" s="159"/>
      <c r="AO19" s="159"/>
      <c r="AP19" s="159"/>
      <c r="AQ19" s="159"/>
    </row>
    <row r="20" spans="1:43" s="151" customFormat="1" ht="13.5" customHeight="1" thickBot="1" x14ac:dyDescent="0.3">
      <c r="A20" s="427"/>
      <c r="B20" s="428"/>
      <c r="C20" s="429"/>
      <c r="D20" s="200">
        <f>IFERROR(IF(D18="Π",VLOOKUP($A18, Round1P,3,FALSE),VLOOKUP($A18,Round1D,3,FALSE)),"")</f>
        <v>10</v>
      </c>
      <c r="E20" s="201" t="str">
        <f>IFERROR(IF(Ballots=3,IF(D18="Π",VLOOKUP($A18, Round1P,5,FALSE),VLOOKUP($A18,Round1D,5,FALSE)),""),"")</f>
        <v/>
      </c>
      <c r="F20" s="202">
        <f>IFERROR(IF(D18="Π",VLOOKUP($A18, Round1P,4,FALSE),VLOOKUP($A18,Round1D,4,FALSE)),"")</f>
        <v>7</v>
      </c>
      <c r="G20" s="200">
        <f>IFERROR(IF(G18="Π",VLOOKUP($A18, Round2P,3,FALSE),VLOOKUP($A18,Round2D,3,FALSE)),"")</f>
        <v>-4</v>
      </c>
      <c r="H20" s="201" t="str">
        <f>IFERROR(IF(Ballots=3,IF(G18="Π",VLOOKUP($A18, Round2P,5,FALSE),VLOOKUP($A18,Round2D,5,FALSE)),""),"")</f>
        <v/>
      </c>
      <c r="I20" s="202">
        <f>IFERROR(IF(G18="Π",VLOOKUP($A18, Round2P,4,FALSE),VLOOKUP($A18,Round2D,4,FALSE)),"")</f>
        <v>3</v>
      </c>
      <c r="J20" s="200">
        <f>IFERROR(IF(J18="Π",VLOOKUP($A18, Round3P,3,FALSE),VLOOKUP($A18,Round3D,3,FALSE)),"")</f>
        <v>-1</v>
      </c>
      <c r="K20" s="201" t="str">
        <f>IFERROR(IF(Ballots=3,IF(J18="Π",VLOOKUP($A18, Round3P,5,FALSE),VLOOKUP($A18,Round3D,5,FALSE)),""),"")</f>
        <v/>
      </c>
      <c r="L20" s="202">
        <f>IFERROR(IF(J18="Π",VLOOKUP($A18, Round3P,4,FALSE),VLOOKUP($A18,Round3D,4,FALSE)),"")</f>
        <v>0</v>
      </c>
      <c r="M20" s="200">
        <f>IFERROR(IF(M18="Π",VLOOKUP($A18, Round4P,3,FALSE),VLOOKUP($A18,Round4D,3,FALSE)),"")</f>
        <v>-2</v>
      </c>
      <c r="N20" s="201" t="str">
        <f>IFERROR(IF(Ballots=3,IF(M18="Π",VLOOKUP($A18, Round4P,5,FALSE),VLOOKUP($A18,Round4D,5,FALSE)),""),"")</f>
        <v/>
      </c>
      <c r="O20" s="202">
        <f>IFERROR(IF(M18="Π",VLOOKUP($A18, Round4P,4,FALSE),VLOOKUP($A18,Round4D,4,FALSE)),"")</f>
        <v>2</v>
      </c>
      <c r="P20" s="203">
        <f>'Tab Summary'!U18+'Tab Summary'!V18+'Tab Summary'!U19+'Tab Summary'!V19</f>
        <v>19</v>
      </c>
      <c r="Q20" s="204"/>
      <c r="R20" s="205">
        <f>SUM('Tab Summary'!W18:X19)</f>
        <v>69</v>
      </c>
      <c r="S20" s="206"/>
      <c r="T20" s="207">
        <f>SUM(D20:O20)</f>
        <v>15</v>
      </c>
      <c r="U20" s="130" t="s">
        <v>67</v>
      </c>
      <c r="V20" s="131">
        <f>IF(D18="Π",COUNTIF(D19:F19,"W"),0)+IF(G18="Π",COUNTIF(G19:I19,"W"),0)+IF(J18="Π",COUNTIF(J19:L19,"W"),0)+IF(M18="Π",COUNTIF(M19:O19,"W"),0)</f>
        <v>2</v>
      </c>
      <c r="W20" s="132" t="s">
        <v>68</v>
      </c>
      <c r="X20" s="130">
        <f>IF(D18="Δ",COUNTIF(D19:F19,"W"),0)+IF(G18="Δ",COUNTIF(G19:I19,"W"),0)+IF(J18="Δ",COUNTIF(J19:L19,"W"),0)+IF(M18="Δ",COUNTIF(M19:O19,"W"),0)</f>
        <v>2</v>
      </c>
      <c r="Y20" s="171"/>
      <c r="Z20" s="171" t="str">
        <f>IF(Teams&gt;3,"Show", "Hide")</f>
        <v>Show</v>
      </c>
      <c r="AA20" s="158"/>
      <c r="AB20" s="158"/>
      <c r="AC20" s="159"/>
      <c r="AD20" s="159"/>
      <c r="AE20" s="158"/>
      <c r="AF20" s="158"/>
      <c r="AG20" s="159"/>
      <c r="AH20" s="159"/>
      <c r="AI20" s="159"/>
      <c r="AJ20" s="159"/>
      <c r="AK20" s="159"/>
      <c r="AL20" s="159"/>
      <c r="AM20" s="159"/>
      <c r="AN20" s="159"/>
      <c r="AO20" s="159"/>
      <c r="AP20" s="159"/>
      <c r="AQ20" s="159"/>
    </row>
    <row r="21" spans="1:43" s="151" customFormat="1" ht="12.75" customHeight="1" x14ac:dyDescent="0.25">
      <c r="A21" s="430">
        <f>'Tournament Info'!C19</f>
        <v>1217</v>
      </c>
      <c r="B21" s="431"/>
      <c r="C21" s="432"/>
      <c r="D21" s="163" t="str">
        <f>IF(COUNTIF('Ballot Entry'!$M$3:$M$37,$A21)=1,"Π",IF(COUNTIF('Ballot Entry'!$N$3:$N$37,$A21)=1,"Δ",""))</f>
        <v>Δ</v>
      </c>
      <c r="E21" s="164" t="s">
        <v>30</v>
      </c>
      <c r="F21" s="165">
        <f>IFERROR(IF(D21="Π",VLOOKUP($A21, Round1P,2,FALSE),VLOOKUP($A21,Round1D,2,FALSE)),"")</f>
        <v>1258</v>
      </c>
      <c r="G21" s="163" t="str">
        <f>IF(COUNTIF('Ballot Entry'!$M$109:$M$143,$A21)=1,"Π",IF(COUNTIF('Ballot Entry'!$N$109:$N$143,$A21)=1,"Δ",""))</f>
        <v>Π</v>
      </c>
      <c r="H21" s="164" t="s">
        <v>30</v>
      </c>
      <c r="I21" s="165">
        <f>IFERROR(IF(G21="Π",VLOOKUP($A21, Round2P,2,FALSE),VLOOKUP($A21,Round2D,2,FALSE)),"")</f>
        <v>1029</v>
      </c>
      <c r="J21" s="163" t="str">
        <f>IF(COUNTIF('Ballot Entry'!$M$215:$M$249,$A21)=1,"Π",IF(COUNTIF('Ballot Entry'!$N$215:$N$249,$A21)=1,"Δ",""))</f>
        <v>Π</v>
      </c>
      <c r="K21" s="164" t="s">
        <v>30</v>
      </c>
      <c r="L21" s="165">
        <f>IFERROR(IF(J21="Π",VLOOKUP($A21, Round3P,2,FALSE),VLOOKUP($A21,Round3D,2,FALSE)),"")</f>
        <v>1410</v>
      </c>
      <c r="M21" s="163" t="str">
        <f>IF(COUNTIF('Ballot Entry'!$M$321:$M$355,$A21)=1,"Π",IF(COUNTIF('Ballot Entry'!$N$321:$N$355,$A21)=1,"Δ",""))</f>
        <v>Δ</v>
      </c>
      <c r="N21" s="164" t="s">
        <v>30</v>
      </c>
      <c r="O21" s="165">
        <f>IFERROR(IF(M21="Π",VLOOKUP($A21, Round4P,2,FALSE),VLOOKUP($A21,Round4D,2,FALSE)),"")</f>
        <v>1051</v>
      </c>
      <c r="P21" s="166">
        <f>COUNTIF(D22:O22,"W")</f>
        <v>2</v>
      </c>
      <c r="Q21" s="167" t="s">
        <v>34</v>
      </c>
      <c r="R21" s="168">
        <f>COUNTIF(D22:O22,"L")</f>
        <v>5</v>
      </c>
      <c r="S21" s="169" t="s">
        <v>34</v>
      </c>
      <c r="T21" s="170">
        <f>COUNTIF(D22:O22,"T")</f>
        <v>1</v>
      </c>
      <c r="U21" s="124">
        <f>IFERROR(VLOOKUP('Tab Summary'!F21,TeamRecord,4,FALSE ),0)</f>
        <v>3</v>
      </c>
      <c r="V21" s="125">
        <f>IFERROR(VLOOKUP('Tab Summary'!I21,TeamRecord,4,FALSE ),0)</f>
        <v>4.5</v>
      </c>
      <c r="W21" s="126">
        <f>IFERROR(VLOOKUP('Tab Summary'!F21,TeamRecord,6,FALSE ),0)</f>
        <v>14.5</v>
      </c>
      <c r="X21" s="124">
        <f>IFERROR(VLOOKUP('Tab Summary'!I21,TeamRecord,6,FALSE ),0)</f>
        <v>16.5</v>
      </c>
      <c r="Y21" s="171">
        <f>IF(COUNTIF('Ballot Entry'!$X$3:$X$221,(P21+(T21/2)))=2,IF((P21+(T21/2))=U21,IF(COUNTIF(D22:F22,"W")&gt;COUNTIF(D22:F22,"L"),F21,0),0)+IF((P21+(T21/2))=V21,IF(COUNTIF(G22:I22,"W")&gt;COUNTIF(G22:I22,"L"),I21,0),0)+IF((P21+(T21/2))=U22,IF(COUNTIF(J22:L22,"W")&gt;COUNTIF(J22:L22,"L"),L21,0),0)+IF((P21+(T21/2))=V22,IF(COUNTIF(M22:O22,"W")&gt;COUNTIF(M22:O22,"L"),O21,0),0),0)</f>
        <v>0</v>
      </c>
      <c r="Z21" s="171" t="str">
        <f>IF(Teams&gt;4,"Show", "Hide")</f>
        <v>Show</v>
      </c>
      <c r="AA21" s="158"/>
      <c r="AB21" s="158"/>
      <c r="AC21" s="159"/>
      <c r="AD21" s="159"/>
      <c r="AE21" s="158"/>
      <c r="AF21" s="158"/>
      <c r="AG21" s="159"/>
      <c r="AH21" s="159"/>
      <c r="AI21" s="159"/>
      <c r="AJ21" s="159"/>
      <c r="AK21" s="159"/>
      <c r="AL21" s="159"/>
      <c r="AM21" s="159"/>
      <c r="AN21" s="159"/>
      <c r="AO21" s="159"/>
      <c r="AP21" s="159"/>
      <c r="AQ21" s="159"/>
    </row>
    <row r="22" spans="1:43" s="151" customFormat="1" ht="12.75" customHeight="1" x14ac:dyDescent="0.25">
      <c r="A22" s="433" t="str">
        <f>'Tournament Info'!B19</f>
        <v>Northwood</v>
      </c>
      <c r="B22" s="434"/>
      <c r="C22" s="435"/>
      <c r="D22" s="172" t="str">
        <f t="shared" ref="D22:O22" si="4">IF(D23="","",IF(D23&gt;0,"W",IF(D23&lt;0,"L",IF(D23=0,"T"))))</f>
        <v>L</v>
      </c>
      <c r="E22" s="173" t="str">
        <f t="shared" si="4"/>
        <v/>
      </c>
      <c r="F22" s="174" t="str">
        <f t="shared" si="4"/>
        <v>L</v>
      </c>
      <c r="G22" s="172" t="str">
        <f t="shared" si="4"/>
        <v>L</v>
      </c>
      <c r="H22" s="173" t="str">
        <f t="shared" si="4"/>
        <v/>
      </c>
      <c r="I22" s="174" t="str">
        <f t="shared" si="4"/>
        <v>L</v>
      </c>
      <c r="J22" s="172" t="str">
        <f t="shared" si="4"/>
        <v>L</v>
      </c>
      <c r="K22" s="173" t="str">
        <f t="shared" si="4"/>
        <v/>
      </c>
      <c r="L22" s="174" t="str">
        <f t="shared" si="4"/>
        <v>T</v>
      </c>
      <c r="M22" s="172" t="str">
        <f t="shared" si="4"/>
        <v>W</v>
      </c>
      <c r="N22" s="173" t="str">
        <f t="shared" si="4"/>
        <v/>
      </c>
      <c r="O22" s="174" t="str">
        <f t="shared" si="4"/>
        <v>W</v>
      </c>
      <c r="P22" s="175" t="s">
        <v>35</v>
      </c>
      <c r="Q22" s="176"/>
      <c r="R22" s="176" t="s">
        <v>36</v>
      </c>
      <c r="S22" s="176"/>
      <c r="T22" s="177" t="s">
        <v>31</v>
      </c>
      <c r="U22" s="127">
        <f>IFERROR(VLOOKUP('Tab Summary'!L21,TeamRecord,4,FALSE ),0)</f>
        <v>3.5</v>
      </c>
      <c r="V22" s="128">
        <f>IFERROR(VLOOKUP('Tab Summary'!O21,TeamRecord,4,FALSE ),0)</f>
        <v>1</v>
      </c>
      <c r="W22" s="129">
        <f>IFERROR(VLOOKUP('Tab Summary'!L21,TeamRecord,6,FALSE ),0)</f>
        <v>12</v>
      </c>
      <c r="X22" s="127">
        <f>IFERROR(VLOOKUP('Tab Summary'!O21,TeamRecord,6,FALSE ),0)</f>
        <v>16</v>
      </c>
      <c r="Y22" s="171">
        <f>IF(Y21&lt;&gt;0,(IF(COUNTIF('Ballot Entry'!$Z$3:$Z$35,'Tab Summary'!P23)=2,IF(P23=W21,IF(COUNTIF(D22:F22,"W")&gt;COUNTIF(D22:F22,"L"),1,0),0)+IF(P23=X21,IF(COUNTIF(G22:I22,"W")&gt;COUNTIF(G22:I22,"L"),1,0),0)+IF(P23=W22,IF(COUNTIF(J22:L22,"W")&gt;COUNTIF(J22:L22,"L"),1,0),0)+IF(P23=X22,IF(COUNTIF(M22:O22,"W")&gt;COUNTIF(M22:O22,"L"),1,0),0),0)),0)</f>
        <v>0</v>
      </c>
      <c r="Z22" s="171" t="str">
        <f>IF(Teams&gt;4,"Show", "Hide")</f>
        <v>Show</v>
      </c>
      <c r="AA22" s="158"/>
      <c r="AB22" s="158"/>
      <c r="AC22" s="159"/>
      <c r="AD22" s="159"/>
      <c r="AE22" s="158"/>
      <c r="AF22" s="158"/>
      <c r="AG22" s="159"/>
      <c r="AH22" s="159"/>
      <c r="AI22" s="159"/>
      <c r="AJ22" s="159"/>
      <c r="AK22" s="159"/>
      <c r="AL22" s="159"/>
      <c r="AM22" s="159"/>
      <c r="AN22" s="159"/>
      <c r="AO22" s="159"/>
      <c r="AP22" s="159"/>
      <c r="AQ22" s="159"/>
    </row>
    <row r="23" spans="1:43" s="151" customFormat="1" ht="13.5" customHeight="1" thickBot="1" x14ac:dyDescent="0.3">
      <c r="A23" s="436"/>
      <c r="B23" s="437"/>
      <c r="C23" s="438"/>
      <c r="D23" s="178">
        <f>IFERROR(IF(D21="Π",VLOOKUP($A21, Round1P,3,FALSE),VLOOKUP($A21,Round1D,3,FALSE)),"")</f>
        <v>-6</v>
      </c>
      <c r="E23" s="179" t="str">
        <f>IFERROR(IF(Ballots=3,IF(D21="Π",VLOOKUP($A21, Round1P,5,FALSE),VLOOKUP($A21,Round1D,5,FALSE)),""),"")</f>
        <v/>
      </c>
      <c r="F23" s="180">
        <f>IFERROR(IF(D21="Π",VLOOKUP($A21, Round1P,4,FALSE),VLOOKUP($A21,Round1D,4,FALSE)),"")</f>
        <v>-7</v>
      </c>
      <c r="G23" s="178">
        <f>IFERROR(IF(G21="Π",VLOOKUP($A21, Round2P,3,FALSE),VLOOKUP($A21,Round2D,3,FALSE)),"")</f>
        <v>-6</v>
      </c>
      <c r="H23" s="179" t="str">
        <f>IFERROR(IF(Ballots=3,IF(G21="Π",VLOOKUP($A21, Round2P,5,FALSE),VLOOKUP($A21,Round2D,5,FALSE)),""),"")</f>
        <v/>
      </c>
      <c r="I23" s="180">
        <f>IFERROR(IF(G21="Π",VLOOKUP($A21, Round2P,4,FALSE),VLOOKUP($A21,Round2D,4,FALSE)),"")</f>
        <v>-3</v>
      </c>
      <c r="J23" s="178">
        <f>IFERROR(IF(J21="Π",VLOOKUP($A21, Round3P,3,FALSE),VLOOKUP($A21,Round3D,3,FALSE)),"")</f>
        <v>-5</v>
      </c>
      <c r="K23" s="179" t="str">
        <f>IFERROR(IF(Ballots=3,IF(J21="Π",VLOOKUP($A21, Round3P,5,FALSE),VLOOKUP($A21,Round3D,5,FALSE)),""),"")</f>
        <v/>
      </c>
      <c r="L23" s="180">
        <f>IFERROR(IF(J21="Π",VLOOKUP($A21, Round3P,4,FALSE),VLOOKUP($A21,Round3D,4,FALSE)),"")</f>
        <v>0</v>
      </c>
      <c r="M23" s="178">
        <f>IFERROR(IF(M21="Π",VLOOKUP($A21, Round4P,3,FALSE),VLOOKUP($A21,Round4D,3,FALSE)),"")</f>
        <v>16</v>
      </c>
      <c r="N23" s="179" t="str">
        <f>IFERROR(IF(Ballots=3,IF(M21="Π",VLOOKUP($A21, Round4P,5,FALSE),VLOOKUP($A21,Round4D,5,FALSE)),""),"")</f>
        <v/>
      </c>
      <c r="O23" s="180">
        <f>IFERROR(IF(M21="Π",VLOOKUP($A21, Round4P,4,FALSE),VLOOKUP($A21,Round4D,4,FALSE)),"")</f>
        <v>2</v>
      </c>
      <c r="P23" s="181">
        <f>'Tab Summary'!U21+'Tab Summary'!V21+'Tab Summary'!U22+'Tab Summary'!V22</f>
        <v>12</v>
      </c>
      <c r="Q23" s="182"/>
      <c r="R23" s="183">
        <f>SUM('Tab Summary'!W21:X22)</f>
        <v>59</v>
      </c>
      <c r="S23" s="184"/>
      <c r="T23" s="185">
        <f>SUM(D23:O23)</f>
        <v>-9</v>
      </c>
      <c r="U23" s="130" t="s">
        <v>67</v>
      </c>
      <c r="V23" s="131">
        <f>IF(D21="Π",COUNTIF(D22:F22,"W"),0)+IF(G21="Π",COUNTIF(G22:I22,"W"),0)+IF(J21="Π",COUNTIF(J22:L22,"W"),0)+IF(M21="Π",COUNTIF(M22:O22,"W"),0)</f>
        <v>0</v>
      </c>
      <c r="W23" s="132" t="s">
        <v>68</v>
      </c>
      <c r="X23" s="130">
        <f>IF(D21="Δ",COUNTIF(D22:F22,"W"),0)+IF(G21="Δ",COUNTIF(G22:I22,"W"),0)+IF(J21="Δ",COUNTIF(J22:L22,"W"),0)+IF(M21="Δ",COUNTIF(M22:O22,"W"),0)</f>
        <v>2</v>
      </c>
      <c r="Y23" s="171"/>
      <c r="Z23" s="171" t="str">
        <f>IF(Teams&gt;4,"Show", "Hide")</f>
        <v>Show</v>
      </c>
      <c r="AA23" s="158"/>
      <c r="AB23" s="158"/>
      <c r="AC23" s="159"/>
      <c r="AD23" s="159"/>
      <c r="AE23" s="158"/>
      <c r="AF23" s="158"/>
      <c r="AG23" s="159"/>
      <c r="AH23" s="159"/>
      <c r="AI23" s="159"/>
      <c r="AJ23" s="159"/>
      <c r="AK23" s="159"/>
      <c r="AL23" s="159"/>
      <c r="AM23" s="159"/>
      <c r="AN23" s="159"/>
      <c r="AO23" s="159"/>
      <c r="AP23" s="159"/>
      <c r="AQ23" s="159"/>
    </row>
    <row r="24" spans="1:43" s="151" customFormat="1" ht="12.75" customHeight="1" x14ac:dyDescent="0.25">
      <c r="A24" s="439">
        <f>'Tournament Info'!C20</f>
        <v>1224</v>
      </c>
      <c r="B24" s="440"/>
      <c r="C24" s="441"/>
      <c r="D24" s="186" t="str">
        <f>IF(COUNTIF('Ballot Entry'!$M$3:$M$37,$A24)=1,"Π",IF(COUNTIF('Ballot Entry'!$N$3:$N$37,$A24)=1,"Δ",""))</f>
        <v>Δ</v>
      </c>
      <c r="E24" s="187" t="s">
        <v>30</v>
      </c>
      <c r="F24" s="188">
        <f>IFERROR(IF(D24="Π",VLOOKUP($A24, Round1P,2,FALSE),VLOOKUP($A24,Round1D,2,FALSE)),"")</f>
        <v>1506</v>
      </c>
      <c r="G24" s="186" t="str">
        <f>IF(COUNTIF('Ballot Entry'!$M$109:$M$143,$A24)=1,"Π",IF(COUNTIF('Ballot Entry'!$N$109:$N$143,$A24)=1,"Δ",""))</f>
        <v>Π</v>
      </c>
      <c r="H24" s="187" t="s">
        <v>30</v>
      </c>
      <c r="I24" s="188">
        <f>IFERROR(IF(G24="Π",VLOOKUP($A24, Round2P,2,FALSE),VLOOKUP($A24,Round2D,2,FALSE)),"")</f>
        <v>1268</v>
      </c>
      <c r="J24" s="186" t="str">
        <f>IF(COUNTIF('Ballot Entry'!$M$215:$M$249,$A24)=1,"Π",IF(COUNTIF('Ballot Entry'!$N$215:$N$249,$A24)=1,"Δ",""))</f>
        <v>Δ</v>
      </c>
      <c r="K24" s="187" t="s">
        <v>30</v>
      </c>
      <c r="L24" s="188">
        <f>IFERROR(IF(J24="Π",VLOOKUP($A24, Round3P,2,FALSE),VLOOKUP($A24,Round3D,2,FALSE)),"")</f>
        <v>1489</v>
      </c>
      <c r="M24" s="186" t="str">
        <f>IF(COUNTIF('Ballot Entry'!$M$321:$M$355,$A24)=1,"Π",IF(COUNTIF('Ballot Entry'!$N$321:$N$355,$A24)=1,"Δ",""))</f>
        <v>Π</v>
      </c>
      <c r="N24" s="187" t="s">
        <v>30</v>
      </c>
      <c r="O24" s="188">
        <f>IFERROR(IF(M24="Π",VLOOKUP($A24, Round4P,2,FALSE),VLOOKUP($A24,Round4D,2,FALSE)),"")</f>
        <v>1693</v>
      </c>
      <c r="P24" s="189">
        <f>COUNTIF(D25:O25,"W")</f>
        <v>5</v>
      </c>
      <c r="Q24" s="190" t="s">
        <v>34</v>
      </c>
      <c r="R24" s="191">
        <f>COUNTIF(D25:O25,"L")</f>
        <v>3</v>
      </c>
      <c r="S24" s="192" t="s">
        <v>34</v>
      </c>
      <c r="T24" s="193">
        <f>COUNTIF(D25:O25,"T")</f>
        <v>0</v>
      </c>
      <c r="U24" s="124">
        <f>IFERROR(VLOOKUP('Tab Summary'!F24,TeamRecord,4,FALSE ),0)</f>
        <v>6</v>
      </c>
      <c r="V24" s="125">
        <f>IFERROR(VLOOKUP('Tab Summary'!I24,TeamRecord,4,FALSE ),0)</f>
        <v>5</v>
      </c>
      <c r="W24" s="126">
        <f>IFERROR(VLOOKUP('Tab Summary'!F24,TeamRecord,6,FALSE ),0)</f>
        <v>20</v>
      </c>
      <c r="X24" s="124">
        <f>IFERROR(VLOOKUP('Tab Summary'!I24,TeamRecord,6,FALSE ),0)</f>
        <v>14.5</v>
      </c>
      <c r="Y24" s="171">
        <f>IF(COUNTIF('Ballot Entry'!$X$3:$X$221,(P24+(T24/2)))=2,IF((P24+(T24/2))=U24,IF(COUNTIF(D25:F25,"W")&gt;COUNTIF(D25:F25,"L"),F24,0),0)+IF((P24+(T24/2))=V24,IF(COUNTIF(G25:I25,"W")&gt;COUNTIF(G25:I25,"L"),I24,0),0)+IF((P24+(T24/2))=U25,IF(COUNTIF(J25:L25,"W")&gt;COUNTIF(J25:L25,"L"),L24,0),0)+IF((P24+(T24/2))=V25,IF(COUNTIF(M25:O25,"W")&gt;COUNTIF(M25:O25,"L"),O24,0),0),0)</f>
        <v>0</v>
      </c>
      <c r="Z24" s="171" t="str">
        <f>IF(Teams&gt;5,"Show", "Hide")</f>
        <v>Show</v>
      </c>
      <c r="AA24" s="158"/>
      <c r="AB24" s="158"/>
      <c r="AC24" s="159"/>
      <c r="AD24" s="159"/>
      <c r="AE24" s="158"/>
      <c r="AF24" s="158"/>
      <c r="AG24" s="159"/>
      <c r="AH24" s="159"/>
      <c r="AI24" s="159"/>
      <c r="AJ24" s="159"/>
      <c r="AK24" s="159"/>
      <c r="AL24" s="159"/>
      <c r="AM24" s="159"/>
      <c r="AN24" s="159"/>
      <c r="AO24" s="159"/>
      <c r="AP24" s="159"/>
      <c r="AQ24" s="159"/>
    </row>
    <row r="25" spans="1:43" s="151" customFormat="1" ht="12.75" customHeight="1" x14ac:dyDescent="0.25">
      <c r="A25" s="424" t="str">
        <f>'Tournament Info'!B20</f>
        <v>Michigan</v>
      </c>
      <c r="B25" s="425"/>
      <c r="C25" s="426"/>
      <c r="D25" s="194" t="str">
        <f t="shared" ref="D25:O25" si="5">IF(D26="","",IF(D26&gt;0,"W",IF(D26&lt;0,"L",IF(D26=0,"T"))))</f>
        <v>L</v>
      </c>
      <c r="E25" s="195" t="str">
        <f t="shared" si="5"/>
        <v/>
      </c>
      <c r="F25" s="196" t="str">
        <f t="shared" si="5"/>
        <v>L</v>
      </c>
      <c r="G25" s="194" t="str">
        <f t="shared" si="5"/>
        <v>W</v>
      </c>
      <c r="H25" s="195" t="str">
        <f t="shared" si="5"/>
        <v/>
      </c>
      <c r="I25" s="196" t="str">
        <f t="shared" si="5"/>
        <v>L</v>
      </c>
      <c r="J25" s="194" t="str">
        <f t="shared" si="5"/>
        <v>W</v>
      </c>
      <c r="K25" s="195" t="str">
        <f t="shared" si="5"/>
        <v/>
      </c>
      <c r="L25" s="196" t="str">
        <f t="shared" si="5"/>
        <v>W</v>
      </c>
      <c r="M25" s="194" t="str">
        <f t="shared" si="5"/>
        <v>W</v>
      </c>
      <c r="N25" s="195" t="str">
        <f t="shared" si="5"/>
        <v/>
      </c>
      <c r="O25" s="196" t="str">
        <f t="shared" si="5"/>
        <v>W</v>
      </c>
      <c r="P25" s="197" t="s">
        <v>35</v>
      </c>
      <c r="Q25" s="198"/>
      <c r="R25" s="198" t="s">
        <v>36</v>
      </c>
      <c r="S25" s="198"/>
      <c r="T25" s="199" t="s">
        <v>31</v>
      </c>
      <c r="U25" s="127">
        <f>IFERROR(VLOOKUP('Tab Summary'!L24,TeamRecord,4,FALSE ),0)</f>
        <v>1</v>
      </c>
      <c r="V25" s="128">
        <f>IFERROR(VLOOKUP('Tab Summary'!O24,TeamRecord,4,FALSE ),0)</f>
        <v>2</v>
      </c>
      <c r="W25" s="129">
        <f>IFERROR(VLOOKUP('Tab Summary'!L24,TeamRecord,6,FALSE ),0)</f>
        <v>14</v>
      </c>
      <c r="X25" s="127">
        <f>IFERROR(VLOOKUP('Tab Summary'!O24,TeamRecord,6,FALSE ),0)</f>
        <v>16</v>
      </c>
      <c r="Y25" s="171">
        <f>IF(Y24&lt;&gt;0,(IF(COUNTIF('Ballot Entry'!$Z$3:$Z$35,'Tab Summary'!P26)=2,IF(P26=W24,IF(COUNTIF(D25:F25,"W")&gt;COUNTIF(D25:F25,"L"),1,0),0)+IF(P26=X24,IF(COUNTIF(G25:I25,"W")&gt;COUNTIF(G25:I25,"L"),1,0),0)+IF(P26=W25,IF(COUNTIF(J25:L25,"W")&gt;COUNTIF(J25:L25,"L"),1,0),0)+IF(P26=X25,IF(COUNTIF(M25:O25,"W")&gt;COUNTIF(M25:O25,"L"),1,0),0),0)),0)</f>
        <v>0</v>
      </c>
      <c r="Z25" s="171" t="str">
        <f>IF(Teams&gt;5,"Show", "Hide")</f>
        <v>Show</v>
      </c>
      <c r="AA25" s="158"/>
      <c r="AB25" s="158"/>
      <c r="AC25" s="159"/>
      <c r="AD25" s="159"/>
      <c r="AE25" s="158"/>
      <c r="AF25" s="158"/>
      <c r="AG25" s="159"/>
      <c r="AH25" s="159"/>
      <c r="AI25" s="159"/>
      <c r="AJ25" s="159"/>
      <c r="AK25" s="159"/>
      <c r="AL25" s="159"/>
      <c r="AM25" s="159"/>
      <c r="AN25" s="159"/>
      <c r="AO25" s="159"/>
      <c r="AP25" s="159"/>
      <c r="AQ25" s="159"/>
    </row>
    <row r="26" spans="1:43" s="151" customFormat="1" ht="13.5" customHeight="1" thickBot="1" x14ac:dyDescent="0.3">
      <c r="A26" s="427"/>
      <c r="B26" s="428"/>
      <c r="C26" s="429"/>
      <c r="D26" s="200">
        <f>IFERROR(IF(D24="Π",VLOOKUP($A24, Round1P,3,FALSE),VLOOKUP($A24,Round1D,3,FALSE)),"")</f>
        <v>-14</v>
      </c>
      <c r="E26" s="201" t="str">
        <f>IFERROR(IF(Ballots=3,IF(D24="Π",VLOOKUP($A24, Round1P,5,FALSE),VLOOKUP($A24,Round1D,5,FALSE)),""),"")</f>
        <v/>
      </c>
      <c r="F26" s="202">
        <f>IFERROR(IF(D24="Π",VLOOKUP($A24, Round1P,4,FALSE),VLOOKUP($A24,Round1D,4,FALSE)),"")</f>
        <v>-15</v>
      </c>
      <c r="G26" s="200">
        <f>IFERROR(IF(G24="Π",VLOOKUP($A24, Round2P,3,FALSE),VLOOKUP($A24,Round2D,3,FALSE)),"")</f>
        <v>4</v>
      </c>
      <c r="H26" s="201" t="str">
        <f>IFERROR(IF(Ballots=3,IF(G24="Π",VLOOKUP($A24, Round2P,5,FALSE),VLOOKUP($A24,Round2D,5,FALSE)),""),"")</f>
        <v/>
      </c>
      <c r="I26" s="202">
        <f>IFERROR(IF(G24="Π",VLOOKUP($A24, Round2P,4,FALSE),VLOOKUP($A24,Round2D,4,FALSE)),"")</f>
        <v>-11</v>
      </c>
      <c r="J26" s="200">
        <f>IFERROR(IF(J24="Π",VLOOKUP($A24, Round3P,3,FALSE),VLOOKUP($A24,Round3D,3,FALSE)),"")</f>
        <v>6</v>
      </c>
      <c r="K26" s="201" t="str">
        <f>IFERROR(IF(Ballots=3,IF(J24="Π",VLOOKUP($A24, Round3P,5,FALSE),VLOOKUP($A24,Round3D,5,FALSE)),""),"")</f>
        <v/>
      </c>
      <c r="L26" s="202">
        <f>IFERROR(IF(J24="Π",VLOOKUP($A24, Round3P,4,FALSE),VLOOKUP($A24,Round3D,4,FALSE)),"")</f>
        <v>10</v>
      </c>
      <c r="M26" s="200">
        <f>IFERROR(IF(M24="Π",VLOOKUP($A24, Round4P,3,FALSE),VLOOKUP($A24,Round4D,3,FALSE)),"")</f>
        <v>1</v>
      </c>
      <c r="N26" s="201" t="str">
        <f>IFERROR(IF(Ballots=3,IF(M24="Π",VLOOKUP($A24, Round4P,5,FALSE),VLOOKUP($A24,Round4D,5,FALSE)),""),"")</f>
        <v/>
      </c>
      <c r="O26" s="202">
        <f>IFERROR(IF(M24="Π",VLOOKUP($A24, Round4P,4,FALSE),VLOOKUP($A24,Round4D,4,FALSE)),"")</f>
        <v>6</v>
      </c>
      <c r="P26" s="203">
        <f>'Tab Summary'!U24+'Tab Summary'!V24+'Tab Summary'!U25+'Tab Summary'!V25</f>
        <v>14</v>
      </c>
      <c r="Q26" s="204"/>
      <c r="R26" s="205">
        <f>SUM('Tab Summary'!W24:X25)</f>
        <v>64.5</v>
      </c>
      <c r="S26" s="206"/>
      <c r="T26" s="207">
        <f>SUM(D26:O26)</f>
        <v>-13</v>
      </c>
      <c r="U26" s="130" t="s">
        <v>67</v>
      </c>
      <c r="V26" s="131">
        <f>IF(D24="Π",COUNTIF(D25:F25,"W"),0)+IF(G24="Π",COUNTIF(G25:I25,"W"),0)+IF(J24="Π",COUNTIF(J25:L25,"W"),0)+IF(M24="Π",COUNTIF(M25:O25,"W"),0)</f>
        <v>3</v>
      </c>
      <c r="W26" s="132" t="s">
        <v>68</v>
      </c>
      <c r="X26" s="130">
        <f>IF(D24="Δ",COUNTIF(D25:F25,"W"),0)+IF(G24="Δ",COUNTIF(G25:I25,"W"),0)+IF(J24="Δ",COUNTIF(J25:L25,"W"),0)+IF(M24="Δ",COUNTIF(M25:O25,"W"),0)</f>
        <v>2</v>
      </c>
      <c r="Y26" s="171"/>
      <c r="Z26" s="171" t="str">
        <f>IF(Teams&gt;5,"Show", "Hide")</f>
        <v>Show</v>
      </c>
      <c r="AA26" s="158"/>
      <c r="AB26" s="158"/>
      <c r="AC26" s="159"/>
      <c r="AD26" s="159"/>
      <c r="AE26" s="158"/>
      <c r="AF26" s="158"/>
      <c r="AG26" s="159"/>
      <c r="AH26" s="159"/>
      <c r="AI26" s="159"/>
      <c r="AJ26" s="159"/>
      <c r="AK26" s="159"/>
      <c r="AL26" s="159"/>
      <c r="AM26" s="159"/>
      <c r="AN26" s="159"/>
      <c r="AO26" s="159"/>
      <c r="AP26" s="159"/>
      <c r="AQ26" s="159"/>
    </row>
    <row r="27" spans="1:43" s="151" customFormat="1" ht="12.75" customHeight="1" x14ac:dyDescent="0.25">
      <c r="A27" s="430">
        <f>'Tournament Info'!C21</f>
        <v>1258</v>
      </c>
      <c r="B27" s="431"/>
      <c r="C27" s="432"/>
      <c r="D27" s="163" t="str">
        <f>IF(COUNTIF('Ballot Entry'!$M$3:$M$37,$A27)=1,"Π",IF(COUNTIF('Ballot Entry'!$N$3:$N$37,$A27)=1,"Δ",""))</f>
        <v>Π</v>
      </c>
      <c r="E27" s="164" t="s">
        <v>30</v>
      </c>
      <c r="F27" s="165">
        <f>IFERROR(IF(D27="Π",VLOOKUP($A27, Round1P,2,FALSE),VLOOKUP($A27,Round1D,2,FALSE)),"")</f>
        <v>1217</v>
      </c>
      <c r="G27" s="163" t="str">
        <f>IF(COUNTIF('Ballot Entry'!$M$109:$M$143,$A27)=1,"Π",IF(COUNTIF('Ballot Entry'!$N$109:$N$143,$A27)=1,"Δ",""))</f>
        <v>Δ</v>
      </c>
      <c r="H27" s="164" t="s">
        <v>30</v>
      </c>
      <c r="I27" s="165">
        <f>IFERROR(IF(G27="Π",VLOOKUP($A27, Round2P,2,FALSE),VLOOKUP($A27,Round2D,2,FALSE)),"")</f>
        <v>1001</v>
      </c>
      <c r="J27" s="163" t="str">
        <f>IF(COUNTIF('Ballot Entry'!$M$215:$M$249,$A27)=1,"Π",IF(COUNTIF('Ballot Entry'!$N$215:$N$249,$A27)=1,"Δ",""))</f>
        <v>Π</v>
      </c>
      <c r="K27" s="164" t="s">
        <v>30</v>
      </c>
      <c r="L27" s="165">
        <f>IFERROR(IF(J27="Π",VLOOKUP($A27, Round3P,2,FALSE),VLOOKUP($A27,Round3D,2,FALSE)),"")</f>
        <v>1557</v>
      </c>
      <c r="M27" s="163" t="str">
        <f>IF(COUNTIF('Ballot Entry'!$M$321:$M$355,$A27)=1,"Π",IF(COUNTIF('Ballot Entry'!$N$321:$N$355,$A27)=1,"Δ",""))</f>
        <v>Δ</v>
      </c>
      <c r="N27" s="164" t="s">
        <v>30</v>
      </c>
      <c r="O27" s="165">
        <f>IFERROR(IF(M27="Π",VLOOKUP($A27, Round4P,2,FALSE),VLOOKUP($A27,Round4D,2,FALSE)),"")</f>
        <v>1492</v>
      </c>
      <c r="P27" s="166">
        <f>COUNTIF(D28:O28,"W")</f>
        <v>3</v>
      </c>
      <c r="Q27" s="167" t="s">
        <v>34</v>
      </c>
      <c r="R27" s="168">
        <f>COUNTIF(D28:O28,"L")</f>
        <v>5</v>
      </c>
      <c r="S27" s="169" t="s">
        <v>34</v>
      </c>
      <c r="T27" s="170">
        <f>COUNTIF(D28:O28,"T")</f>
        <v>0</v>
      </c>
      <c r="U27" s="124">
        <f>IFERROR(VLOOKUP('Tab Summary'!F27,TeamRecord,4,FALSE ),0)</f>
        <v>2.5</v>
      </c>
      <c r="V27" s="125">
        <f>IFERROR(VLOOKUP('Tab Summary'!I27,TeamRecord,4,FALSE ),0)</f>
        <v>4</v>
      </c>
      <c r="W27" s="126">
        <f>IFERROR(VLOOKUP('Tab Summary'!F27,TeamRecord,6,FALSE ),0)</f>
        <v>12</v>
      </c>
      <c r="X27" s="124">
        <f>IFERROR(VLOOKUP('Tab Summary'!I27,TeamRecord,6,FALSE ),0)</f>
        <v>21</v>
      </c>
      <c r="Y27" s="171">
        <f>IF(COUNTIF('Ballot Entry'!$X$3:$X$221,(P27+(T27/2)))=2,IF((P27+(T27/2))=U27,IF(COUNTIF(D28:F28,"W")&gt;COUNTIF(D28:F28,"L"),F27,0),0)+IF((P27+(T27/2))=V27,IF(COUNTIF(G28:I28,"W")&gt;COUNTIF(G28:I28,"L"),I27,0),0)+IF((P27+(T27/2))=U28,IF(COUNTIF(J28:L28,"W")&gt;COUNTIF(J28:L28,"L"),L27,0),0)+IF((P27+(T27/2))=V28,IF(COUNTIF(M28:O28,"W")&gt;COUNTIF(M28:O28,"L"),O27,0),0),0)</f>
        <v>0</v>
      </c>
      <c r="Z27" s="171" t="str">
        <f>IF(Teams&gt;6,"Show", "Hide")</f>
        <v>Show</v>
      </c>
      <c r="AA27" s="158"/>
      <c r="AB27" s="158"/>
      <c r="AC27" s="159"/>
      <c r="AD27" s="159"/>
      <c r="AE27" s="158"/>
      <c r="AF27" s="158"/>
      <c r="AG27" s="159"/>
      <c r="AH27" s="159"/>
      <c r="AI27" s="159"/>
      <c r="AJ27" s="159"/>
      <c r="AK27" s="159"/>
      <c r="AL27" s="159"/>
      <c r="AM27" s="159"/>
      <c r="AN27" s="159"/>
      <c r="AO27" s="159"/>
      <c r="AP27" s="159"/>
      <c r="AQ27" s="159"/>
    </row>
    <row r="28" spans="1:43" s="151" customFormat="1" ht="12.75" customHeight="1" x14ac:dyDescent="0.25">
      <c r="A28" s="433" t="str">
        <f>'Tournament Info'!B21</f>
        <v>UC Berkeley</v>
      </c>
      <c r="B28" s="434"/>
      <c r="C28" s="435"/>
      <c r="D28" s="172" t="str">
        <f t="shared" ref="D28:O28" si="6">IF(D29="","",IF(D29&gt;0,"W",IF(D29&lt;0,"L",IF(D29=0,"T"))))</f>
        <v>W</v>
      </c>
      <c r="E28" s="173" t="str">
        <f t="shared" si="6"/>
        <v/>
      </c>
      <c r="F28" s="174" t="str">
        <f t="shared" si="6"/>
        <v>W</v>
      </c>
      <c r="G28" s="172" t="str">
        <f t="shared" si="6"/>
        <v>L</v>
      </c>
      <c r="H28" s="173" t="str">
        <f t="shared" si="6"/>
        <v/>
      </c>
      <c r="I28" s="174" t="str">
        <f t="shared" si="6"/>
        <v>L</v>
      </c>
      <c r="J28" s="172" t="str">
        <f t="shared" si="6"/>
        <v>L</v>
      </c>
      <c r="K28" s="173" t="str">
        <f t="shared" si="6"/>
        <v/>
      </c>
      <c r="L28" s="174" t="str">
        <f t="shared" si="6"/>
        <v>L</v>
      </c>
      <c r="M28" s="172" t="str">
        <f t="shared" si="6"/>
        <v>W</v>
      </c>
      <c r="N28" s="173" t="str">
        <f t="shared" si="6"/>
        <v/>
      </c>
      <c r="O28" s="174" t="str">
        <f t="shared" si="6"/>
        <v>L</v>
      </c>
      <c r="P28" s="175" t="s">
        <v>35</v>
      </c>
      <c r="Q28" s="176"/>
      <c r="R28" s="176" t="s">
        <v>36</v>
      </c>
      <c r="S28" s="176"/>
      <c r="T28" s="177" t="s">
        <v>31</v>
      </c>
      <c r="U28" s="127">
        <f>IFERROR(VLOOKUP('Tab Summary'!L27,TeamRecord,4,FALSE ),0)</f>
        <v>4</v>
      </c>
      <c r="V28" s="128">
        <f>IFERROR(VLOOKUP('Tab Summary'!O27,TeamRecord,4,FALSE ),0)</f>
        <v>4</v>
      </c>
      <c r="W28" s="129">
        <f>IFERROR(VLOOKUP('Tab Summary'!L27,TeamRecord,6,FALSE ),0)</f>
        <v>16.5</v>
      </c>
      <c r="X28" s="127">
        <f>IFERROR(VLOOKUP('Tab Summary'!O27,TeamRecord,6,FALSE ),0)</f>
        <v>16.5</v>
      </c>
      <c r="Y28" s="171">
        <f>IF(Y27&lt;&gt;0,(IF(COUNTIF('Ballot Entry'!$Z$3:$Z$35,'Tab Summary'!P29)=2,IF(P29=W27,IF(COUNTIF(D28:F28,"W")&gt;COUNTIF(D28:F28,"L"),1,0),0)+IF(P29=X27,IF(COUNTIF(G28:I28,"W")&gt;COUNTIF(G28:I28,"L"),1,0),0)+IF(P29=W28,IF(COUNTIF(J28:L28,"W")&gt;COUNTIF(J28:L28,"L"),1,0),0)+IF(P29=X28,IF(COUNTIF(M28:O28,"W")&gt;COUNTIF(M28:O28,"L"),1,0),0),0)),0)</f>
        <v>0</v>
      </c>
      <c r="Z28" s="171" t="str">
        <f>IF(Teams&gt;6,"Show", "Hide")</f>
        <v>Show</v>
      </c>
      <c r="AA28" s="158"/>
      <c r="AB28" s="158"/>
      <c r="AC28" s="159"/>
      <c r="AD28" s="159"/>
      <c r="AE28" s="158"/>
      <c r="AF28" s="158"/>
      <c r="AG28" s="159"/>
      <c r="AH28" s="159"/>
      <c r="AI28" s="159"/>
      <c r="AJ28" s="159"/>
      <c r="AK28" s="159"/>
      <c r="AL28" s="159"/>
      <c r="AM28" s="159"/>
      <c r="AN28" s="159"/>
      <c r="AO28" s="159"/>
      <c r="AP28" s="159"/>
      <c r="AQ28" s="159"/>
    </row>
    <row r="29" spans="1:43" s="151" customFormat="1" ht="13.5" customHeight="1" thickBot="1" x14ac:dyDescent="0.3">
      <c r="A29" s="436"/>
      <c r="B29" s="437"/>
      <c r="C29" s="438"/>
      <c r="D29" s="178">
        <f>IFERROR(IF(D27="Π",VLOOKUP($A27, Round1P,3,FALSE),VLOOKUP($A27,Round1D,3,FALSE)),"")</f>
        <v>6</v>
      </c>
      <c r="E29" s="179" t="str">
        <f>IFERROR(IF(Ballots=3,IF(D27="Π",VLOOKUP($A27, Round1P,5,FALSE),VLOOKUP($A27,Round1D,5,FALSE)),""),"")</f>
        <v/>
      </c>
      <c r="F29" s="180">
        <f>IFERROR(IF(D27="Π",VLOOKUP($A27, Round1P,4,FALSE),VLOOKUP($A27,Round1D,4,FALSE)),"")</f>
        <v>7</v>
      </c>
      <c r="G29" s="178">
        <f>IFERROR(IF(G27="Π",VLOOKUP($A27, Round2P,3,FALSE),VLOOKUP($A27,Round2D,3,FALSE)),"")</f>
        <v>-2</v>
      </c>
      <c r="H29" s="179" t="str">
        <f>IFERROR(IF(Ballots=3,IF(G27="Π",VLOOKUP($A27, Round2P,5,FALSE),VLOOKUP($A27,Round2D,5,FALSE)),""),"")</f>
        <v/>
      </c>
      <c r="I29" s="180">
        <f>IFERROR(IF(G27="Π",VLOOKUP($A27, Round2P,4,FALSE),VLOOKUP($A27,Round2D,4,FALSE)),"")</f>
        <v>-12</v>
      </c>
      <c r="J29" s="178">
        <f>IFERROR(IF(J27="Π",VLOOKUP($A27, Round3P,3,FALSE),VLOOKUP($A27,Round3D,3,FALSE)),"")</f>
        <v>-15</v>
      </c>
      <c r="K29" s="179" t="str">
        <f>IFERROR(IF(Ballots=3,IF(J27="Π",VLOOKUP($A27, Round3P,5,FALSE),VLOOKUP($A27,Round3D,5,FALSE)),""),"")</f>
        <v/>
      </c>
      <c r="L29" s="180">
        <f>IFERROR(IF(J27="Π",VLOOKUP($A27, Round3P,4,FALSE),VLOOKUP($A27,Round3D,4,FALSE)),"")</f>
        <v>-2</v>
      </c>
      <c r="M29" s="178">
        <f>IFERROR(IF(M27="Π",VLOOKUP($A27, Round4P,3,FALSE),VLOOKUP($A27,Round4D,3,FALSE)),"")</f>
        <v>18</v>
      </c>
      <c r="N29" s="179" t="str">
        <f>IFERROR(IF(Ballots=3,IF(M27="Π",VLOOKUP($A27, Round4P,5,FALSE),VLOOKUP($A27,Round4D,5,FALSE)),""),"")</f>
        <v/>
      </c>
      <c r="O29" s="180">
        <f>IFERROR(IF(M27="Π",VLOOKUP($A27, Round4P,4,FALSE),VLOOKUP($A27,Round4D,4,FALSE)),"")</f>
        <v>-4</v>
      </c>
      <c r="P29" s="181">
        <f>'Tab Summary'!U27+'Tab Summary'!V27+'Tab Summary'!U28+'Tab Summary'!V28</f>
        <v>14.5</v>
      </c>
      <c r="Q29" s="182"/>
      <c r="R29" s="183">
        <f>SUM('Tab Summary'!W27:X28)</f>
        <v>66</v>
      </c>
      <c r="S29" s="184"/>
      <c r="T29" s="185">
        <f>SUM(D29:O29)</f>
        <v>-4</v>
      </c>
      <c r="U29" s="130" t="s">
        <v>67</v>
      </c>
      <c r="V29" s="131">
        <f>IF(D27="Π",COUNTIF(D28:F28,"W"),0)+IF(G27="Π",COUNTIF(G28:I28,"W"),0)+IF(J27="Π",COUNTIF(J28:L28,"W"),0)+IF(M27="Π",COUNTIF(M28:O28,"W"),0)</f>
        <v>2</v>
      </c>
      <c r="W29" s="132" t="s">
        <v>68</v>
      </c>
      <c r="X29" s="130">
        <f>IF(D27="Δ",COUNTIF(D28:F28,"W"),0)+IF(G27="Δ",COUNTIF(G28:I28,"W"),0)+IF(J27="Δ",COUNTIF(J28:L28,"W"),0)+IF(M27="Δ",COUNTIF(M28:O28,"W"),0)</f>
        <v>1</v>
      </c>
      <c r="Y29" s="171"/>
      <c r="Z29" s="171" t="str">
        <f>IF(Teams&gt;6,"Show", "Hide")</f>
        <v>Show</v>
      </c>
      <c r="AA29" s="158"/>
      <c r="AB29" s="158"/>
      <c r="AC29" s="159"/>
      <c r="AD29" s="159"/>
      <c r="AE29" s="158"/>
      <c r="AF29" s="158"/>
      <c r="AG29" s="159"/>
      <c r="AH29" s="159"/>
      <c r="AI29" s="159"/>
      <c r="AJ29" s="159"/>
      <c r="AK29" s="159"/>
      <c r="AL29" s="159"/>
      <c r="AM29" s="159"/>
      <c r="AN29" s="159"/>
      <c r="AO29" s="159"/>
      <c r="AP29" s="159"/>
      <c r="AQ29" s="159"/>
    </row>
    <row r="30" spans="1:43" s="151" customFormat="1" ht="12.75" customHeight="1" x14ac:dyDescent="0.25">
      <c r="A30" s="439">
        <f>'Tournament Info'!C22</f>
        <v>1262</v>
      </c>
      <c r="B30" s="440"/>
      <c r="C30" s="441"/>
      <c r="D30" s="186" t="str">
        <f>IF(COUNTIF('Ballot Entry'!$M$3:$M$37,$A30)=1,"Π",IF(COUNTIF('Ballot Entry'!$N$3:$N$37,$A30)=1,"Δ",""))</f>
        <v>Π</v>
      </c>
      <c r="E30" s="187" t="s">
        <v>30</v>
      </c>
      <c r="F30" s="188">
        <f>IFERROR(IF(D30="Π",VLOOKUP($A30, Round1P,2,FALSE),VLOOKUP($A30,Round1D,2,FALSE)),"")</f>
        <v>1693</v>
      </c>
      <c r="G30" s="186" t="str">
        <f>IF(COUNTIF('Ballot Entry'!$M$109:$M$143,$A30)=1,"Π",IF(COUNTIF('Ballot Entry'!$N$109:$N$143,$A30)=1,"Δ",""))</f>
        <v>Δ</v>
      </c>
      <c r="H30" s="187" t="s">
        <v>30</v>
      </c>
      <c r="I30" s="188">
        <f>IFERROR(IF(G30="Π",VLOOKUP($A30, Round2P,2,FALSE),VLOOKUP($A30,Round2D,2,FALSE)),"")</f>
        <v>1616</v>
      </c>
      <c r="J30" s="186" t="str">
        <f>IF(COUNTIF('Ballot Entry'!$M$215:$M$249,$A30)=1,"Π",IF(COUNTIF('Ballot Entry'!$N$215:$N$249,$A30)=1,"Δ",""))</f>
        <v>Π</v>
      </c>
      <c r="K30" s="187" t="s">
        <v>30</v>
      </c>
      <c r="L30" s="188">
        <f>IFERROR(IF(J30="Π",VLOOKUP($A30, Round3P,2,FALSE),VLOOKUP($A30,Round3D,2,FALSE)),"")</f>
        <v>1029</v>
      </c>
      <c r="M30" s="186" t="str">
        <f>IF(COUNTIF('Ballot Entry'!$M$321:$M$355,$A30)=1,"Π",IF(COUNTIF('Ballot Entry'!$N$321:$N$355,$A30)=1,"Δ",""))</f>
        <v>Δ</v>
      </c>
      <c r="N30" s="187" t="s">
        <v>30</v>
      </c>
      <c r="O30" s="188">
        <f>IFERROR(IF(M30="Π",VLOOKUP($A30, Round4P,2,FALSE),VLOOKUP($A30,Round4D,2,FALSE)),"")</f>
        <v>1078</v>
      </c>
      <c r="P30" s="189">
        <f>COUNTIF(D31:O31,"W")</f>
        <v>3</v>
      </c>
      <c r="Q30" s="190" t="s">
        <v>34</v>
      </c>
      <c r="R30" s="191">
        <f>COUNTIF(D31:O31,"L")</f>
        <v>4</v>
      </c>
      <c r="S30" s="192" t="s">
        <v>34</v>
      </c>
      <c r="T30" s="193">
        <f>COUNTIF(D31:O31,"T")</f>
        <v>1</v>
      </c>
      <c r="U30" s="124">
        <f>IFERROR(VLOOKUP('Tab Summary'!F30,TeamRecord,4,FALSE ),0)</f>
        <v>2</v>
      </c>
      <c r="V30" s="125">
        <f>IFERROR(VLOOKUP('Tab Summary'!I30,TeamRecord,4,FALSE ),0)</f>
        <v>6.5</v>
      </c>
      <c r="W30" s="126">
        <f>IFERROR(VLOOKUP('Tab Summary'!F30,TeamRecord,6,FALSE ),0)</f>
        <v>16</v>
      </c>
      <c r="X30" s="124">
        <f>IFERROR(VLOOKUP('Tab Summary'!I30,TeamRecord,6,FALSE ),0)</f>
        <v>17.5</v>
      </c>
      <c r="Y30" s="171">
        <f>IF(COUNTIF('Ballot Entry'!$X$3:$X$221,(P30+(T30/2)))=2,IF((P30+(T30/2))=U30,IF(COUNTIF(D31:F31,"W")&gt;COUNTIF(D31:F31,"L"),F30,0),0)+IF((P30+(T30/2))=V30,IF(COUNTIF(G31:I31,"W")&gt;COUNTIF(G31:I31,"L"),I30,0),0)+IF((P30+(T30/2))=U31,IF(COUNTIF(J31:L31,"W")&gt;COUNTIF(J31:L31,"L"),L30,0),0)+IF((P30+(T30/2))=V31,IF(COUNTIF(M31:O31,"W")&gt;COUNTIF(M31:O31,"L"),O30,0),0),0)</f>
        <v>0</v>
      </c>
      <c r="Z30" s="171" t="str">
        <f>IF(Teams&gt;7,"Show", "Hide")</f>
        <v>Show</v>
      </c>
      <c r="AA30" s="158"/>
      <c r="AB30" s="158"/>
      <c r="AC30" s="159"/>
      <c r="AD30" s="159"/>
      <c r="AE30" s="158"/>
      <c r="AF30" s="158"/>
      <c r="AG30" s="159"/>
      <c r="AH30" s="159"/>
      <c r="AI30" s="159"/>
      <c r="AJ30" s="159"/>
      <c r="AK30" s="159"/>
      <c r="AL30" s="159"/>
      <c r="AM30" s="159"/>
      <c r="AN30" s="159"/>
      <c r="AO30" s="159"/>
      <c r="AP30" s="159"/>
      <c r="AQ30" s="159"/>
    </row>
    <row r="31" spans="1:43" s="151" customFormat="1" ht="12.75" customHeight="1" x14ac:dyDescent="0.25">
      <c r="A31" s="424" t="str">
        <f>'Tournament Info'!B22</f>
        <v>Tufts</v>
      </c>
      <c r="B31" s="425"/>
      <c r="C31" s="426"/>
      <c r="D31" s="194" t="str">
        <f t="shared" ref="D31:O31" si="7">IF(D32="","",IF(D32&gt;0,"W",IF(D32&lt;0,"L",IF(D32=0,"T"))))</f>
        <v>W</v>
      </c>
      <c r="E31" s="195" t="str">
        <f t="shared" si="7"/>
        <v/>
      </c>
      <c r="F31" s="196" t="str">
        <f t="shared" si="7"/>
        <v>W</v>
      </c>
      <c r="G31" s="194" t="str">
        <f t="shared" si="7"/>
        <v>L</v>
      </c>
      <c r="H31" s="195" t="str">
        <f t="shared" si="7"/>
        <v/>
      </c>
      <c r="I31" s="196" t="str">
        <f t="shared" si="7"/>
        <v>T</v>
      </c>
      <c r="J31" s="194" t="str">
        <f t="shared" si="7"/>
        <v>L</v>
      </c>
      <c r="K31" s="195" t="str">
        <f t="shared" si="7"/>
        <v/>
      </c>
      <c r="L31" s="196" t="str">
        <f t="shared" si="7"/>
        <v>L</v>
      </c>
      <c r="M31" s="194" t="str">
        <f t="shared" si="7"/>
        <v>W</v>
      </c>
      <c r="N31" s="195" t="str">
        <f t="shared" si="7"/>
        <v/>
      </c>
      <c r="O31" s="196" t="str">
        <f t="shared" si="7"/>
        <v>L</v>
      </c>
      <c r="P31" s="197" t="s">
        <v>35</v>
      </c>
      <c r="Q31" s="198"/>
      <c r="R31" s="198" t="s">
        <v>36</v>
      </c>
      <c r="S31" s="198"/>
      <c r="T31" s="199" t="s">
        <v>31</v>
      </c>
      <c r="U31" s="127">
        <f>IFERROR(VLOOKUP('Tab Summary'!L30,TeamRecord,4,FALSE ),0)</f>
        <v>4.5</v>
      </c>
      <c r="V31" s="128">
        <f>IFERROR(VLOOKUP('Tab Summary'!O30,TeamRecord,4,FALSE ),0)</f>
        <v>4.5</v>
      </c>
      <c r="W31" s="129">
        <f>IFERROR(VLOOKUP('Tab Summary'!L30,TeamRecord,6,FALSE ),0)</f>
        <v>16.5</v>
      </c>
      <c r="X31" s="127">
        <f>IFERROR(VLOOKUP('Tab Summary'!O30,TeamRecord,6,FALSE ),0)</f>
        <v>19</v>
      </c>
      <c r="Y31" s="171">
        <f>IF(Y30&lt;&gt;0,(IF(COUNTIF('Ballot Entry'!$Z$3:$Z$35,'Tab Summary'!P32)=2,IF(P32=W30,IF(COUNTIF(D31:F31,"W")&gt;COUNTIF(D31:F31,"L"),1,0),0)+IF(P32=X30,IF(COUNTIF(G31:I31,"W")&gt;COUNTIF(G31:I31,"L"),1,0),0)+IF(P32=W31,IF(COUNTIF(J31:L31,"W")&gt;COUNTIF(J31:L31,"L"),1,0),0)+IF(P32=X31,IF(COUNTIF(M31:O31,"W")&gt;COUNTIF(M31:O31,"L"),1,0),0),0)),0)</f>
        <v>0</v>
      </c>
      <c r="Z31" s="171" t="str">
        <f>IF(Teams&gt;7,"Show", "Hide")</f>
        <v>Show</v>
      </c>
      <c r="AA31" s="158"/>
      <c r="AB31" s="158"/>
      <c r="AC31" s="159"/>
      <c r="AD31" s="159"/>
      <c r="AE31" s="158"/>
      <c r="AF31" s="158"/>
      <c r="AG31" s="159"/>
      <c r="AH31" s="159"/>
      <c r="AI31" s="159"/>
      <c r="AJ31" s="159"/>
      <c r="AK31" s="159"/>
      <c r="AL31" s="159"/>
      <c r="AM31" s="159"/>
      <c r="AN31" s="159"/>
      <c r="AO31" s="159"/>
      <c r="AP31" s="159"/>
      <c r="AQ31" s="159"/>
    </row>
    <row r="32" spans="1:43" s="151" customFormat="1" ht="13.5" customHeight="1" thickBot="1" x14ac:dyDescent="0.3">
      <c r="A32" s="427"/>
      <c r="B32" s="428"/>
      <c r="C32" s="429"/>
      <c r="D32" s="200">
        <f>IFERROR(IF(D30="Π",VLOOKUP($A30, Round1P,3,FALSE),VLOOKUP($A30,Round1D,3,FALSE)),"")</f>
        <v>2</v>
      </c>
      <c r="E32" s="201" t="str">
        <f>IFERROR(IF(Ballots=3,IF(D30="Π",VLOOKUP($A30, Round1P,5,FALSE),VLOOKUP($A30,Round1D,5,FALSE)),""),"")</f>
        <v/>
      </c>
      <c r="F32" s="202">
        <f>IFERROR(IF(D30="Π",VLOOKUP($A30, Round1P,4,FALSE),VLOOKUP($A30,Round1D,4,FALSE)),"")</f>
        <v>13</v>
      </c>
      <c r="G32" s="200">
        <f>IFERROR(IF(G30="Π",VLOOKUP($A30, Round2P,3,FALSE),VLOOKUP($A30,Round2D,3,FALSE)),"")</f>
        <v>-1</v>
      </c>
      <c r="H32" s="201" t="str">
        <f>IFERROR(IF(Ballots=3,IF(G30="Π",VLOOKUP($A30, Round2P,5,FALSE),VLOOKUP($A30,Round2D,5,FALSE)),""),"")</f>
        <v/>
      </c>
      <c r="I32" s="202">
        <f>IFERROR(IF(G30="Π",VLOOKUP($A30, Round2P,4,FALSE),VLOOKUP($A30,Round2D,4,FALSE)),"")</f>
        <v>0</v>
      </c>
      <c r="J32" s="200">
        <f>IFERROR(IF(J30="Π",VLOOKUP($A30, Round3P,3,FALSE),VLOOKUP($A30,Round3D,3,FALSE)),"")</f>
        <v>-3</v>
      </c>
      <c r="K32" s="201" t="str">
        <f>IFERROR(IF(Ballots=3,IF(J30="Π",VLOOKUP($A30, Round3P,5,FALSE),VLOOKUP($A30,Round3D,5,FALSE)),""),"")</f>
        <v/>
      </c>
      <c r="L32" s="202">
        <f>IFERROR(IF(J30="Π",VLOOKUP($A30, Round3P,4,FALSE),VLOOKUP($A30,Round3D,4,FALSE)),"")</f>
        <v>-14</v>
      </c>
      <c r="M32" s="200">
        <f>IFERROR(IF(M30="Π",VLOOKUP($A30, Round4P,3,FALSE),VLOOKUP($A30,Round4D,3,FALSE)),"")</f>
        <v>2</v>
      </c>
      <c r="N32" s="201" t="str">
        <f>IFERROR(IF(Ballots=3,IF(M30="Π",VLOOKUP($A30, Round4P,5,FALSE),VLOOKUP($A30,Round4D,5,FALSE)),""),"")</f>
        <v/>
      </c>
      <c r="O32" s="202">
        <f>IFERROR(IF(M30="Π",VLOOKUP($A30, Round4P,4,FALSE),VLOOKUP($A30,Round4D,4,FALSE)),"")</f>
        <v>-2</v>
      </c>
      <c r="P32" s="203">
        <f>'Tab Summary'!U30+'Tab Summary'!V30+'Tab Summary'!U31+'Tab Summary'!V31</f>
        <v>17.5</v>
      </c>
      <c r="Q32" s="204"/>
      <c r="R32" s="205">
        <f>SUM('Tab Summary'!W30:X31)</f>
        <v>69</v>
      </c>
      <c r="S32" s="206"/>
      <c r="T32" s="207">
        <f>SUM(D32:O32)</f>
        <v>-3</v>
      </c>
      <c r="U32" s="130" t="s">
        <v>67</v>
      </c>
      <c r="V32" s="131">
        <f>IF(D30="Π",COUNTIF(D31:F31,"W"),0)+IF(G30="Π",COUNTIF(G31:I31,"W"),0)+IF(J30="Π",COUNTIF(J31:L31,"W"),0)+IF(M30="Π",COUNTIF(M31:O31,"W"),0)</f>
        <v>2</v>
      </c>
      <c r="W32" s="132" t="s">
        <v>68</v>
      </c>
      <c r="X32" s="130">
        <f>IF(D30="Δ",COUNTIF(D31:F31,"W"),0)+IF(G30="Δ",COUNTIF(G31:I31,"W"),0)+IF(J30="Δ",COUNTIF(J31:L31,"W"),0)+IF(M30="Δ",COUNTIF(M31:O31,"W"),0)</f>
        <v>1</v>
      </c>
      <c r="Y32" s="171"/>
      <c r="Z32" s="171" t="str">
        <f>IF(Teams&gt;7,"Show", "Hide")</f>
        <v>Show</v>
      </c>
      <c r="AA32" s="158"/>
      <c r="AB32" s="158"/>
      <c r="AC32" s="159"/>
      <c r="AD32" s="159"/>
      <c r="AE32" s="158"/>
      <c r="AF32" s="158"/>
      <c r="AG32" s="159"/>
      <c r="AH32" s="159"/>
      <c r="AI32" s="159"/>
      <c r="AJ32" s="159"/>
      <c r="AK32" s="159"/>
      <c r="AL32" s="159"/>
      <c r="AM32" s="159"/>
      <c r="AN32" s="159"/>
      <c r="AO32" s="159"/>
      <c r="AP32" s="159"/>
      <c r="AQ32" s="159"/>
    </row>
    <row r="33" spans="1:43" s="151" customFormat="1" ht="13.5" x14ac:dyDescent="0.25">
      <c r="A33" s="430">
        <f>'Tournament Info'!C23</f>
        <v>1268</v>
      </c>
      <c r="B33" s="431"/>
      <c r="C33" s="432"/>
      <c r="D33" s="163" t="str">
        <f>IF(COUNTIF('Ballot Entry'!$M$3:$M$37,$A33)=1,"Π",IF(COUNTIF('Ballot Entry'!$N$3:$N$37,$A33)=1,"Δ",""))</f>
        <v>Π</v>
      </c>
      <c r="E33" s="164" t="s">
        <v>30</v>
      </c>
      <c r="F33" s="165">
        <f>IFERROR(IF(D33="Π",VLOOKUP($A33, Round1P,2,FALSE),VLOOKUP($A33,Round1D,2,FALSE)),"")</f>
        <v>1078</v>
      </c>
      <c r="G33" s="163" t="str">
        <f>IF(COUNTIF('Ballot Entry'!$M$109:$M$143,$A33)=1,"Π",IF(COUNTIF('Ballot Entry'!$N$109:$N$143,$A33)=1,"Δ",""))</f>
        <v>Δ</v>
      </c>
      <c r="H33" s="164" t="s">
        <v>30</v>
      </c>
      <c r="I33" s="165">
        <f>IFERROR(IF(G33="Π",VLOOKUP($A33, Round2P,2,FALSE),VLOOKUP($A33,Round2D,2,FALSE)),"")</f>
        <v>1224</v>
      </c>
      <c r="J33" s="163" t="str">
        <f>IF(COUNTIF('Ballot Entry'!$M$215:$M$249,$A33)=1,"Π",IF(COUNTIF('Ballot Entry'!$N$215:$N$249,$A33)=1,"Δ",""))</f>
        <v>Π</v>
      </c>
      <c r="K33" s="164" t="s">
        <v>30</v>
      </c>
      <c r="L33" s="165">
        <f>IFERROR(IF(J33="Π",VLOOKUP($A33, Round3P,2,FALSE),VLOOKUP($A33,Round3D,2,FALSE)),"")</f>
        <v>1051</v>
      </c>
      <c r="M33" s="163" t="str">
        <f>IF(COUNTIF('Ballot Entry'!$M$321:$M$355,$A33)=1,"Π",IF(COUNTIF('Ballot Entry'!$N$321:$N$355,$A33)=1,"Δ",""))</f>
        <v>Δ</v>
      </c>
      <c r="N33" s="164" t="s">
        <v>30</v>
      </c>
      <c r="O33" s="165">
        <f>IFERROR(IF(M33="Π",VLOOKUP($A33, Round4P,2,FALSE),VLOOKUP($A33,Round4D,2,FALSE)),"")</f>
        <v>1557</v>
      </c>
      <c r="P33" s="166">
        <f>COUNTIF(D34:O34,"W")</f>
        <v>5</v>
      </c>
      <c r="Q33" s="167" t="s">
        <v>34</v>
      </c>
      <c r="R33" s="168">
        <f>COUNTIF(D34:O34,"L")</f>
        <v>3</v>
      </c>
      <c r="S33" s="169" t="s">
        <v>34</v>
      </c>
      <c r="T33" s="170">
        <f>COUNTIF(D34:O34,"T")</f>
        <v>0</v>
      </c>
      <c r="U33" s="124">
        <f>IFERROR(VLOOKUP('Tab Summary'!F33,TeamRecord,4,FALSE ),0)</f>
        <v>4.5</v>
      </c>
      <c r="V33" s="125">
        <f>IFERROR(VLOOKUP('Tab Summary'!I33,TeamRecord,4,FALSE ),0)</f>
        <v>5</v>
      </c>
      <c r="W33" s="126">
        <f>IFERROR(VLOOKUP('Tab Summary'!F33,TeamRecord,6,FALSE ),0)</f>
        <v>19</v>
      </c>
      <c r="X33" s="124">
        <f>IFERROR(VLOOKUP('Tab Summary'!I33,TeamRecord,6,FALSE ),0)</f>
        <v>14</v>
      </c>
      <c r="Y33" s="171">
        <f>IF(COUNTIF('Ballot Entry'!$X$3:$X$221,(P33+(T33/2)))=2,IF((P33+(T33/2))=U33,IF(COUNTIF(D34:F34,"W")&gt;COUNTIF(D34:F34,"L"),F33,0),0)+IF((P33+(T33/2))=V33,IF(COUNTIF(G34:I34,"W")&gt;COUNTIF(G34:I34,"L"),I33,0),0)+IF((P33+(T33/2))=U34,IF(COUNTIF(J34:L34,"W")&gt;COUNTIF(J34:L34,"L"),L33,0),0)+IF((P33+(T33/2))=V34,IF(COUNTIF(M34:O34,"W")&gt;COUNTIF(M34:O34,"L"),O33,0),0),0)</f>
        <v>0</v>
      </c>
      <c r="Z33" s="171" t="str">
        <f>IF(Teams&gt;8,"Show", "Hide")</f>
        <v>Show</v>
      </c>
      <c r="AA33" s="158"/>
      <c r="AB33" s="158"/>
      <c r="AC33" s="159"/>
      <c r="AD33" s="159"/>
      <c r="AE33" s="158"/>
      <c r="AF33" s="158"/>
      <c r="AG33" s="159"/>
      <c r="AH33" s="159"/>
      <c r="AI33" s="159"/>
      <c r="AJ33" s="159"/>
      <c r="AK33" s="159"/>
      <c r="AL33" s="159"/>
      <c r="AM33" s="159"/>
      <c r="AN33" s="159"/>
      <c r="AO33" s="159"/>
      <c r="AP33" s="159"/>
      <c r="AQ33" s="159"/>
    </row>
    <row r="34" spans="1:43" s="151" customFormat="1" ht="12.75" customHeight="1" x14ac:dyDescent="0.25">
      <c r="A34" s="433" t="str">
        <f>'Tournament Info'!B23</f>
        <v>Columbia</v>
      </c>
      <c r="B34" s="434"/>
      <c r="C34" s="435"/>
      <c r="D34" s="172" t="str">
        <f t="shared" ref="D34:O34" si="8">IF(D35="","",IF(D35&gt;0,"W",IF(D35&lt;0,"L",IF(D35=0,"T"))))</f>
        <v>L</v>
      </c>
      <c r="E34" s="173" t="str">
        <f t="shared" si="8"/>
        <v/>
      </c>
      <c r="F34" s="174" t="str">
        <f t="shared" si="8"/>
        <v>L</v>
      </c>
      <c r="G34" s="172" t="str">
        <f t="shared" si="8"/>
        <v>L</v>
      </c>
      <c r="H34" s="173" t="str">
        <f t="shared" si="8"/>
        <v/>
      </c>
      <c r="I34" s="174" t="str">
        <f t="shared" si="8"/>
        <v>W</v>
      </c>
      <c r="J34" s="172" t="str">
        <f t="shared" si="8"/>
        <v>W</v>
      </c>
      <c r="K34" s="173" t="str">
        <f t="shared" si="8"/>
        <v/>
      </c>
      <c r="L34" s="174" t="str">
        <f t="shared" si="8"/>
        <v>W</v>
      </c>
      <c r="M34" s="172" t="str">
        <f t="shared" si="8"/>
        <v>W</v>
      </c>
      <c r="N34" s="173" t="str">
        <f t="shared" si="8"/>
        <v/>
      </c>
      <c r="O34" s="174" t="str">
        <f t="shared" si="8"/>
        <v>W</v>
      </c>
      <c r="P34" s="175" t="s">
        <v>35</v>
      </c>
      <c r="Q34" s="176"/>
      <c r="R34" s="176" t="s">
        <v>36</v>
      </c>
      <c r="S34" s="176"/>
      <c r="T34" s="177" t="s">
        <v>31</v>
      </c>
      <c r="U34" s="127">
        <f>IFERROR(VLOOKUP('Tab Summary'!L33,TeamRecord,4,FALSE ),0)</f>
        <v>1</v>
      </c>
      <c r="V34" s="128">
        <f>IFERROR(VLOOKUP('Tab Summary'!O33,TeamRecord,4,FALSE ),0)</f>
        <v>4</v>
      </c>
      <c r="W34" s="129">
        <f>IFERROR(VLOOKUP('Tab Summary'!L33,TeamRecord,6,FALSE ),0)</f>
        <v>16</v>
      </c>
      <c r="X34" s="127">
        <f>IFERROR(VLOOKUP('Tab Summary'!O33,TeamRecord,6,FALSE ),0)</f>
        <v>16.5</v>
      </c>
      <c r="Y34" s="171">
        <f>IF(Y33&lt;&gt;0,(IF(COUNTIF('Ballot Entry'!$Z$3:$Z$35,'Tab Summary'!P35)=2,IF(P35=W33,IF(COUNTIF(D34:F34,"W")&gt;COUNTIF(D34:F34,"L"),1,0),0)+IF(P35=X33,IF(COUNTIF(G34:I34,"W")&gt;COUNTIF(G34:I34,"L"),1,0),0)+IF(P35=W34,IF(COUNTIF(J34:L34,"W")&gt;COUNTIF(J34:L34,"L"),1,0),0)+IF(P35=X34,IF(COUNTIF(M34:O34,"W")&gt;COUNTIF(M34:O34,"L"),1,0),0),0)),0)</f>
        <v>0</v>
      </c>
      <c r="Z34" s="171" t="str">
        <f>IF(Teams&gt;8,"Show", "Hide")</f>
        <v>Show</v>
      </c>
      <c r="AA34" s="158"/>
      <c r="AB34" s="158"/>
      <c r="AC34" s="159"/>
      <c r="AD34" s="159"/>
      <c r="AE34" s="158"/>
      <c r="AF34" s="158"/>
      <c r="AG34" s="159"/>
      <c r="AH34" s="159"/>
      <c r="AI34" s="159"/>
      <c r="AJ34" s="159"/>
      <c r="AK34" s="159"/>
      <c r="AL34" s="159"/>
      <c r="AM34" s="159"/>
      <c r="AN34" s="159"/>
      <c r="AO34" s="159"/>
      <c r="AP34" s="159"/>
      <c r="AQ34" s="159"/>
    </row>
    <row r="35" spans="1:43" s="151" customFormat="1" ht="13.5" customHeight="1" thickBot="1" x14ac:dyDescent="0.3">
      <c r="A35" s="436"/>
      <c r="B35" s="437"/>
      <c r="C35" s="438"/>
      <c r="D35" s="178">
        <f>IFERROR(IF(D33="Π",VLOOKUP($A33, Round1P,3,FALSE),VLOOKUP($A33,Round1D,3,FALSE)),"")</f>
        <v>-10</v>
      </c>
      <c r="E35" s="179" t="str">
        <f>IFERROR(IF(Ballots=3,IF(D33="Π",VLOOKUP($A33, Round1P,5,FALSE),VLOOKUP($A33,Round1D,5,FALSE)),""),"")</f>
        <v/>
      </c>
      <c r="F35" s="180">
        <f>IFERROR(IF(D33="Π",VLOOKUP($A33, Round1P,4,FALSE),VLOOKUP($A33,Round1D,4,FALSE)),"")</f>
        <v>-7</v>
      </c>
      <c r="G35" s="178">
        <f>IFERROR(IF(G33="Π",VLOOKUP($A33, Round2P,3,FALSE),VLOOKUP($A33,Round2D,3,FALSE)),"")</f>
        <v>-4</v>
      </c>
      <c r="H35" s="179" t="str">
        <f>IFERROR(IF(Ballots=3,IF(G33="Π",VLOOKUP($A33, Round2P,5,FALSE),VLOOKUP($A33,Round2D,5,FALSE)),""),"")</f>
        <v/>
      </c>
      <c r="I35" s="180">
        <f>IFERROR(IF(G33="Π",VLOOKUP($A33, Round2P,4,FALSE),VLOOKUP($A33,Round2D,4,FALSE)),"")</f>
        <v>11</v>
      </c>
      <c r="J35" s="178">
        <f>IFERROR(IF(J33="Π",VLOOKUP($A33, Round3P,3,FALSE),VLOOKUP($A33,Round3D,3,FALSE)),"")</f>
        <v>24</v>
      </c>
      <c r="K35" s="179" t="str">
        <f>IFERROR(IF(Ballots=3,IF(J33="Π",VLOOKUP($A33, Round3P,5,FALSE),VLOOKUP($A33,Round3D,5,FALSE)),""),"")</f>
        <v/>
      </c>
      <c r="L35" s="180">
        <f>IFERROR(IF(J33="Π",VLOOKUP($A33, Round3P,4,FALSE),VLOOKUP($A33,Round3D,4,FALSE)),"")</f>
        <v>15</v>
      </c>
      <c r="M35" s="178">
        <f>IFERROR(IF(M33="Π",VLOOKUP($A33, Round4P,3,FALSE),VLOOKUP($A33,Round4D,3,FALSE)),"")</f>
        <v>6</v>
      </c>
      <c r="N35" s="179" t="str">
        <f>IFERROR(IF(Ballots=3,IF(M33="Π",VLOOKUP($A33, Round4P,5,FALSE),VLOOKUP($A33,Round4D,5,FALSE)),""),"")</f>
        <v/>
      </c>
      <c r="O35" s="180">
        <f>IFERROR(IF(M33="Π",VLOOKUP($A33, Round4P,4,FALSE),VLOOKUP($A33,Round4D,4,FALSE)),"")</f>
        <v>16</v>
      </c>
      <c r="P35" s="181">
        <f>'Tab Summary'!U33+'Tab Summary'!V33+'Tab Summary'!U34+'Tab Summary'!V34</f>
        <v>14.5</v>
      </c>
      <c r="Q35" s="182"/>
      <c r="R35" s="183">
        <f>SUM('Tab Summary'!W33:X34)</f>
        <v>65.5</v>
      </c>
      <c r="S35" s="184"/>
      <c r="T35" s="185">
        <f>SUM(D35:O35)</f>
        <v>51</v>
      </c>
      <c r="U35" s="130" t="s">
        <v>67</v>
      </c>
      <c r="V35" s="131">
        <f>IF(D33="Π",COUNTIF(D34:F34,"W"),0)+IF(G33="Π",COUNTIF(G34:I34,"W"),0)+IF(J33="Π",COUNTIF(J34:L34,"W"),0)+IF(M33="Π",COUNTIF(M34:O34,"W"),0)</f>
        <v>2</v>
      </c>
      <c r="W35" s="132" t="s">
        <v>68</v>
      </c>
      <c r="X35" s="130">
        <f>IF(D33="Δ",COUNTIF(D34:F34,"W"),0)+IF(G33="Δ",COUNTIF(G34:I34,"W"),0)+IF(J33="Δ",COUNTIF(J34:L34,"W"),0)+IF(M33="Δ",COUNTIF(M34:O34,"W"),0)</f>
        <v>3</v>
      </c>
      <c r="Y35" s="171"/>
      <c r="Z35" s="171" t="str">
        <f>IF(Teams&gt;8,"Show", "Hide")</f>
        <v>Show</v>
      </c>
      <c r="AA35" s="158"/>
      <c r="AB35" s="158"/>
      <c r="AC35" s="159"/>
      <c r="AD35" s="159"/>
      <c r="AE35" s="158"/>
      <c r="AF35" s="158"/>
      <c r="AG35" s="159"/>
      <c r="AH35" s="159"/>
      <c r="AI35" s="159"/>
      <c r="AJ35" s="159"/>
      <c r="AK35" s="159"/>
      <c r="AL35" s="159"/>
      <c r="AM35" s="159"/>
      <c r="AN35" s="159"/>
      <c r="AO35" s="159"/>
      <c r="AP35" s="159"/>
      <c r="AQ35" s="159"/>
    </row>
    <row r="36" spans="1:43" s="151" customFormat="1" ht="13.5" x14ac:dyDescent="0.25">
      <c r="A36" s="439">
        <f>'Tournament Info'!C24</f>
        <v>1410</v>
      </c>
      <c r="B36" s="440"/>
      <c r="C36" s="441"/>
      <c r="D36" s="186" t="str">
        <f>IF(COUNTIF('Ballot Entry'!$M$3:$M$37,$A36)=1,"Π",IF(COUNTIF('Ballot Entry'!$N$3:$N$37,$A36)=1,"Δ",""))</f>
        <v>Π</v>
      </c>
      <c r="E36" s="187" t="s">
        <v>30</v>
      </c>
      <c r="F36" s="188">
        <f>IFERROR(IF(D36="Π",VLOOKUP($A36, Round1P,2,FALSE),VLOOKUP($A36,Round1D,2,FALSE)),"")</f>
        <v>1616</v>
      </c>
      <c r="G36" s="186" t="str">
        <f>IF(COUNTIF('Ballot Entry'!$M$109:$M$143,$A36)=1,"Π",IF(COUNTIF('Ballot Entry'!$N$109:$N$143,$A36)=1,"Δ",""))</f>
        <v>Δ</v>
      </c>
      <c r="H36" s="187" t="s">
        <v>30</v>
      </c>
      <c r="I36" s="188">
        <f>IFERROR(IF(G36="Π",VLOOKUP($A36, Round2P,2,FALSE),VLOOKUP($A36,Round2D,2,FALSE)),"")</f>
        <v>1693</v>
      </c>
      <c r="J36" s="186" t="str">
        <f>IF(COUNTIF('Ballot Entry'!$M$215:$M$249,$A36)=1,"Π",IF(COUNTIF('Ballot Entry'!$N$215:$N$249,$A36)=1,"Δ",""))</f>
        <v>Δ</v>
      </c>
      <c r="K36" s="187" t="s">
        <v>30</v>
      </c>
      <c r="L36" s="188">
        <f>IFERROR(IF(J36="Π",VLOOKUP($A36, Round3P,2,FALSE),VLOOKUP($A36,Round3D,2,FALSE)),"")</f>
        <v>1217</v>
      </c>
      <c r="M36" s="186" t="str">
        <f>IF(COUNTIF('Ballot Entry'!$M$321:$M$355,$A36)=1,"Π",IF(COUNTIF('Ballot Entry'!$N$321:$N$355,$A36)=1,"Δ",""))</f>
        <v>Π</v>
      </c>
      <c r="N36" s="187" t="s">
        <v>30</v>
      </c>
      <c r="O36" s="188">
        <f>IFERROR(IF(M36="Π",VLOOKUP($A36, Round4P,2,FALSE),VLOOKUP($A36,Round4D,2,FALSE)),"")</f>
        <v>1489</v>
      </c>
      <c r="P36" s="189">
        <f>COUNTIF(D37:O37,"W")</f>
        <v>3</v>
      </c>
      <c r="Q36" s="190" t="s">
        <v>34</v>
      </c>
      <c r="R36" s="191">
        <f>COUNTIF(D37:O37,"L")</f>
        <v>4</v>
      </c>
      <c r="S36" s="192" t="s">
        <v>34</v>
      </c>
      <c r="T36" s="193">
        <f>COUNTIF(D37:O37,"T")</f>
        <v>1</v>
      </c>
      <c r="U36" s="124">
        <f>IFERROR(VLOOKUP('Tab Summary'!F36,TeamRecord,4,FALSE ),0)</f>
        <v>6.5</v>
      </c>
      <c r="V36" s="125">
        <f>IFERROR(VLOOKUP('Tab Summary'!I36,TeamRecord,4,FALSE ),0)</f>
        <v>2</v>
      </c>
      <c r="W36" s="126">
        <f>IFERROR(VLOOKUP('Tab Summary'!F36,TeamRecord,6,FALSE ),0)</f>
        <v>17.5</v>
      </c>
      <c r="X36" s="124">
        <f>IFERROR(VLOOKUP('Tab Summary'!I36,TeamRecord,6,FALSE ),0)</f>
        <v>16</v>
      </c>
      <c r="Y36" s="171">
        <f>IF(COUNTIF('Ballot Entry'!$X$3:$X$221,(P36+(T36/2)))=2,IF((P36+(T36/2))=U36,IF(COUNTIF(D37:F37,"W")&gt;COUNTIF(D37:F37,"L"),F36,0),0)+IF((P36+(T36/2))=V36,IF(COUNTIF(G37:I37,"W")&gt;COUNTIF(G37:I37,"L"),I36,0),0)+IF((P36+(T36/2))=U37,IF(COUNTIF(J37:L37,"W")&gt;COUNTIF(J37:L37,"L"),L36,0),0)+IF((P36+(T36/2))=V37,IF(COUNTIF(M37:O37,"W")&gt;COUNTIF(M37:O37,"L"),O36,0),0),0)</f>
        <v>0</v>
      </c>
      <c r="Z36" s="171" t="str">
        <f>IF(Teams&gt;9,"Show", "Hide")</f>
        <v>Show</v>
      </c>
      <c r="AA36" s="158"/>
      <c r="AB36" s="158"/>
      <c r="AC36" s="159"/>
      <c r="AD36" s="159"/>
      <c r="AE36" s="158"/>
      <c r="AF36" s="158"/>
      <c r="AG36" s="159"/>
      <c r="AH36" s="159"/>
      <c r="AI36" s="159"/>
      <c r="AJ36" s="159"/>
      <c r="AK36" s="159"/>
      <c r="AL36" s="159"/>
      <c r="AM36" s="159"/>
      <c r="AN36" s="159"/>
      <c r="AO36" s="159"/>
      <c r="AP36" s="159"/>
      <c r="AQ36" s="159"/>
    </row>
    <row r="37" spans="1:43" s="151" customFormat="1" ht="12.75" customHeight="1" x14ac:dyDescent="0.25">
      <c r="A37" s="424" t="str">
        <f>'Tournament Info'!B24</f>
        <v>Ohio State</v>
      </c>
      <c r="B37" s="425"/>
      <c r="C37" s="426"/>
      <c r="D37" s="194" t="str">
        <f t="shared" ref="D37:O37" si="9">IF(D38="","",IF(D38&gt;0,"W",IF(D38&lt;0,"L",IF(D38=0,"T"))))</f>
        <v>L</v>
      </c>
      <c r="E37" s="195" t="str">
        <f t="shared" si="9"/>
        <v/>
      </c>
      <c r="F37" s="196" t="str">
        <f t="shared" si="9"/>
        <v>L</v>
      </c>
      <c r="G37" s="194" t="str">
        <f t="shared" si="9"/>
        <v>L</v>
      </c>
      <c r="H37" s="195" t="str">
        <f t="shared" si="9"/>
        <v/>
      </c>
      <c r="I37" s="196" t="str">
        <f t="shared" si="9"/>
        <v>L</v>
      </c>
      <c r="J37" s="194" t="str">
        <f t="shared" si="9"/>
        <v>W</v>
      </c>
      <c r="K37" s="195" t="str">
        <f t="shared" si="9"/>
        <v/>
      </c>
      <c r="L37" s="196" t="str">
        <f t="shared" si="9"/>
        <v>T</v>
      </c>
      <c r="M37" s="194" t="str">
        <f t="shared" si="9"/>
        <v>W</v>
      </c>
      <c r="N37" s="195" t="str">
        <f t="shared" si="9"/>
        <v/>
      </c>
      <c r="O37" s="196" t="str">
        <f t="shared" si="9"/>
        <v>W</v>
      </c>
      <c r="P37" s="197" t="s">
        <v>35</v>
      </c>
      <c r="Q37" s="198"/>
      <c r="R37" s="198" t="s">
        <v>36</v>
      </c>
      <c r="S37" s="198"/>
      <c r="T37" s="199" t="s">
        <v>31</v>
      </c>
      <c r="U37" s="127">
        <f>IFERROR(VLOOKUP('Tab Summary'!L36,TeamRecord,4,FALSE ),0)</f>
        <v>2.5</v>
      </c>
      <c r="V37" s="128">
        <f>IFERROR(VLOOKUP('Tab Summary'!O36,TeamRecord,4,FALSE ),0)</f>
        <v>1</v>
      </c>
      <c r="W37" s="129">
        <f>IFERROR(VLOOKUP('Tab Summary'!L36,TeamRecord,6,FALSE ),0)</f>
        <v>12</v>
      </c>
      <c r="X37" s="127">
        <f>IFERROR(VLOOKUP('Tab Summary'!O36,TeamRecord,6,FALSE ),0)</f>
        <v>14</v>
      </c>
      <c r="Y37" s="171">
        <f>IF(Y36&lt;&gt;0,(IF(COUNTIF('Ballot Entry'!$Z$3:$Z$35,'Tab Summary'!P38)=2,IF(P38=W36,IF(COUNTIF(D37:F37,"W")&gt;COUNTIF(D37:F37,"L"),1,0),0)+IF(P38=X36,IF(COUNTIF(G37:I37,"W")&gt;COUNTIF(G37:I37,"L"),1,0),0)+IF(P38=W37,IF(COUNTIF(J37:L37,"W")&gt;COUNTIF(J37:L37,"L"),1,0),0)+IF(P38=X37,IF(COUNTIF(M37:O37,"W")&gt;COUNTIF(M37:O37,"L"),1,0),0),0)),0)</f>
        <v>0</v>
      </c>
      <c r="Z37" s="171" t="str">
        <f>IF(Teams&gt;9,"Show", "Hide")</f>
        <v>Show</v>
      </c>
      <c r="AA37" s="158"/>
      <c r="AB37" s="158"/>
      <c r="AC37" s="159"/>
      <c r="AD37" s="159"/>
      <c r="AE37" s="158"/>
      <c r="AF37" s="158"/>
      <c r="AG37" s="159"/>
      <c r="AH37" s="159"/>
      <c r="AI37" s="159"/>
      <c r="AJ37" s="159"/>
      <c r="AK37" s="159"/>
      <c r="AL37" s="159"/>
      <c r="AM37" s="159"/>
      <c r="AN37" s="159"/>
      <c r="AO37" s="159"/>
      <c r="AP37" s="159"/>
      <c r="AQ37" s="159"/>
    </row>
    <row r="38" spans="1:43" s="151" customFormat="1" ht="13.5" customHeight="1" thickBot="1" x14ac:dyDescent="0.3">
      <c r="A38" s="427"/>
      <c r="B38" s="428"/>
      <c r="C38" s="429"/>
      <c r="D38" s="200">
        <f>IFERROR(IF(D36="Π",VLOOKUP($A36, Round1P,3,FALSE),VLOOKUP($A36,Round1D,3,FALSE)),"")</f>
        <v>-3</v>
      </c>
      <c r="E38" s="201" t="str">
        <f>IFERROR(IF(Ballots=3,IF(D36="Π",VLOOKUP($A36, Round1P,5,FALSE),VLOOKUP($A36,Round1D,5,FALSE)),""),"")</f>
        <v/>
      </c>
      <c r="F38" s="202">
        <f>IFERROR(IF(D36="Π",VLOOKUP($A36, Round1P,4,FALSE),VLOOKUP($A36,Round1D,4,FALSE)),"")</f>
        <v>-4</v>
      </c>
      <c r="G38" s="200">
        <f>IFERROR(IF(G36="Π",VLOOKUP($A36, Round2P,3,FALSE),VLOOKUP($A36,Round2D,3,FALSE)),"")</f>
        <v>-1</v>
      </c>
      <c r="H38" s="201" t="str">
        <f>IFERROR(IF(Ballots=3,IF(G36="Π",VLOOKUP($A36, Round2P,5,FALSE),VLOOKUP($A36,Round2D,5,FALSE)),""),"")</f>
        <v/>
      </c>
      <c r="I38" s="202">
        <f>IFERROR(IF(G36="Π",VLOOKUP($A36, Round2P,4,FALSE),VLOOKUP($A36,Round2D,4,FALSE)),"")</f>
        <v>-8</v>
      </c>
      <c r="J38" s="200">
        <f>IFERROR(IF(J36="Π",VLOOKUP($A36, Round3P,3,FALSE),VLOOKUP($A36,Round3D,3,FALSE)),"")</f>
        <v>5</v>
      </c>
      <c r="K38" s="201" t="str">
        <f>IFERROR(IF(Ballots=3,IF(J36="Π",VLOOKUP($A36, Round3P,5,FALSE),VLOOKUP($A36,Round3D,5,FALSE)),""),"")</f>
        <v/>
      </c>
      <c r="L38" s="202">
        <f>IFERROR(IF(J36="Π",VLOOKUP($A36, Round3P,4,FALSE),VLOOKUP($A36,Round3D,4,FALSE)),"")</f>
        <v>0</v>
      </c>
      <c r="M38" s="200">
        <f>IFERROR(IF(M36="Π",VLOOKUP($A36, Round4P,3,FALSE),VLOOKUP($A36,Round4D,3,FALSE)),"")</f>
        <v>20</v>
      </c>
      <c r="N38" s="201" t="str">
        <f>IFERROR(IF(Ballots=3,IF(M36="Π",VLOOKUP($A36, Round4P,5,FALSE),VLOOKUP($A36,Round4D,5,FALSE)),""),"")</f>
        <v/>
      </c>
      <c r="O38" s="202">
        <f>IFERROR(IF(M36="Π",VLOOKUP($A36, Round4P,4,FALSE),VLOOKUP($A36,Round4D,4,FALSE)),"")</f>
        <v>2</v>
      </c>
      <c r="P38" s="203">
        <f>'Tab Summary'!U36+'Tab Summary'!V36+'Tab Summary'!U37+'Tab Summary'!V37</f>
        <v>12</v>
      </c>
      <c r="Q38" s="204"/>
      <c r="R38" s="205">
        <f>SUM('Tab Summary'!W36:X37)</f>
        <v>59.5</v>
      </c>
      <c r="S38" s="206"/>
      <c r="T38" s="207">
        <f>SUM(D38:O38)</f>
        <v>11</v>
      </c>
      <c r="U38" s="130" t="s">
        <v>67</v>
      </c>
      <c r="V38" s="131">
        <f>IF(D36="Π",COUNTIF(D37:F37,"W"),0)+IF(G36="Π",COUNTIF(G37:I37,"W"),0)+IF(J36="Π",COUNTIF(J37:L37,"W"),0)+IF(M36="Π",COUNTIF(M37:O37,"W"),0)</f>
        <v>2</v>
      </c>
      <c r="W38" s="132" t="s">
        <v>68</v>
      </c>
      <c r="X38" s="130">
        <f>IF(D36="Δ",COUNTIF(D37:F37,"W"),0)+IF(G36="Δ",COUNTIF(G37:I37,"W"),0)+IF(J36="Δ",COUNTIF(J37:L37,"W"),0)+IF(M36="Δ",COUNTIF(M37:O37,"W"),0)</f>
        <v>1</v>
      </c>
      <c r="Y38" s="171"/>
      <c r="Z38" s="171" t="str">
        <f>IF(Teams&gt;9,"Show", "Hide")</f>
        <v>Show</v>
      </c>
      <c r="AA38" s="158"/>
      <c r="AB38" s="158"/>
      <c r="AC38" s="159"/>
      <c r="AD38" s="159"/>
      <c r="AE38" s="158"/>
      <c r="AF38" s="158"/>
      <c r="AG38" s="159"/>
      <c r="AH38" s="159"/>
      <c r="AI38" s="159"/>
      <c r="AJ38" s="159"/>
      <c r="AK38" s="159"/>
      <c r="AL38" s="159"/>
      <c r="AM38" s="159"/>
      <c r="AN38" s="159"/>
      <c r="AO38" s="159"/>
      <c r="AP38" s="159"/>
      <c r="AQ38" s="159"/>
    </row>
    <row r="39" spans="1:43" s="151" customFormat="1" ht="13.5" x14ac:dyDescent="0.25">
      <c r="A39" s="430">
        <f>'Tournament Info'!C25</f>
        <v>1489</v>
      </c>
      <c r="B39" s="431"/>
      <c r="C39" s="432"/>
      <c r="D39" s="163" t="str">
        <f>IF(COUNTIF('Ballot Entry'!$M$3:$M$37,$A39)=1,"Π",IF(COUNTIF('Ballot Entry'!$N$3:$N$37,$A39)=1,"Δ",""))</f>
        <v>Π</v>
      </c>
      <c r="E39" s="164" t="s">
        <v>30</v>
      </c>
      <c r="F39" s="165">
        <f>IFERROR(IF(D39="Π",VLOOKUP($A39, Round1P,2,FALSE),VLOOKUP($A39,Round1D,2,FALSE)),"")</f>
        <v>1051</v>
      </c>
      <c r="G39" s="163" t="str">
        <f>IF(COUNTIF('Ballot Entry'!$M$109:$M$143,$A39)=1,"Π",IF(COUNTIF('Ballot Entry'!$N$109:$N$143,$A39)=1,"Δ",""))</f>
        <v>Δ</v>
      </c>
      <c r="H39" s="164" t="s">
        <v>30</v>
      </c>
      <c r="I39" s="165">
        <f>IFERROR(IF(G39="Π",VLOOKUP($A39, Round2P,2,FALSE),VLOOKUP($A39,Round2D,2,FALSE)),"")</f>
        <v>1517</v>
      </c>
      <c r="J39" s="163" t="str">
        <f>IF(COUNTIF('Ballot Entry'!$M$215:$M$249,$A39)=1,"Π",IF(COUNTIF('Ballot Entry'!$N$215:$N$249,$A39)=1,"Δ",""))</f>
        <v>Π</v>
      </c>
      <c r="K39" s="164" t="s">
        <v>30</v>
      </c>
      <c r="L39" s="165">
        <f>IFERROR(IF(J39="Π",VLOOKUP($A39, Round3P,2,FALSE),VLOOKUP($A39,Round3D,2,FALSE)),"")</f>
        <v>1224</v>
      </c>
      <c r="M39" s="163" t="str">
        <f>IF(COUNTIF('Ballot Entry'!$M$321:$M$355,$A39)=1,"Π",IF(COUNTIF('Ballot Entry'!$N$321:$N$355,$A39)=1,"Δ",""))</f>
        <v>Δ</v>
      </c>
      <c r="N39" s="164" t="s">
        <v>30</v>
      </c>
      <c r="O39" s="165">
        <f>IFERROR(IF(M39="Π",VLOOKUP($A39, Round4P,2,FALSE),VLOOKUP($A39,Round4D,2,FALSE)),"")</f>
        <v>1410</v>
      </c>
      <c r="P39" s="166">
        <f>COUNTIF(D40:O40,"W")</f>
        <v>1</v>
      </c>
      <c r="Q39" s="167" t="s">
        <v>34</v>
      </c>
      <c r="R39" s="168">
        <f>COUNTIF(D40:O40,"L")</f>
        <v>7</v>
      </c>
      <c r="S39" s="169" t="s">
        <v>34</v>
      </c>
      <c r="T39" s="170">
        <f>COUNTIF(D40:O40,"T")</f>
        <v>0</v>
      </c>
      <c r="U39" s="124">
        <f>IFERROR(VLOOKUP('Tab Summary'!F39,TeamRecord,4,FALSE ),0)</f>
        <v>1</v>
      </c>
      <c r="V39" s="125">
        <f>IFERROR(VLOOKUP('Tab Summary'!I39,TeamRecord,4,FALSE ),0)</f>
        <v>4.5</v>
      </c>
      <c r="W39" s="126">
        <f>IFERROR(VLOOKUP('Tab Summary'!F39,TeamRecord,6,FALSE ),0)</f>
        <v>16</v>
      </c>
      <c r="X39" s="124">
        <f>IFERROR(VLOOKUP('Tab Summary'!I39,TeamRecord,6,FALSE ),0)</f>
        <v>17</v>
      </c>
      <c r="Y39" s="171">
        <f>IF(COUNTIF('Ballot Entry'!$X$3:$X$221,(P39+(T39/2)))=2,IF((P39+(T39/2))=U39,IF(COUNTIF(D40:F40,"W")&gt;COUNTIF(D40:F40,"L"),F39,0),0)+IF((P39+(T39/2))=V39,IF(COUNTIF(G40:I40,"W")&gt;COUNTIF(G40:I40,"L"),I39,0),0)+IF((P39+(T39/2))=U40,IF(COUNTIF(J40:L40,"W")&gt;COUNTIF(J40:L40,"L"),L39,0),0)+IF((P39+(T39/2))=V40,IF(COUNTIF(M40:O40,"W")&gt;COUNTIF(M40:O40,"L"),O39,0),0),0)</f>
        <v>0</v>
      </c>
      <c r="Z39" s="171" t="str">
        <f>IF(Teams&gt;10,"Show", "Hide")</f>
        <v>Show</v>
      </c>
      <c r="AA39" s="158"/>
      <c r="AB39" s="158"/>
      <c r="AC39" s="159"/>
      <c r="AD39" s="159"/>
      <c r="AE39" s="158"/>
      <c r="AF39" s="158"/>
      <c r="AG39" s="159"/>
      <c r="AH39" s="159"/>
      <c r="AI39" s="159"/>
      <c r="AJ39" s="159"/>
      <c r="AK39" s="159"/>
      <c r="AL39" s="159"/>
      <c r="AM39" s="159"/>
      <c r="AN39" s="159"/>
      <c r="AO39" s="159"/>
      <c r="AP39" s="159"/>
      <c r="AQ39" s="159"/>
    </row>
    <row r="40" spans="1:43" s="151" customFormat="1" ht="12.75" customHeight="1" x14ac:dyDescent="0.25">
      <c r="A40" s="433" t="str">
        <f>'Tournament Info'!B25</f>
        <v>Brown</v>
      </c>
      <c r="B40" s="434"/>
      <c r="C40" s="435"/>
      <c r="D40" s="172" t="str">
        <f t="shared" ref="D40:O40" si="10">IF(D41="","",IF(D41&gt;0,"W",IF(D41&lt;0,"L",IF(D41=0,"T"))))</f>
        <v>W</v>
      </c>
      <c r="E40" s="173" t="str">
        <f t="shared" si="10"/>
        <v/>
      </c>
      <c r="F40" s="174" t="str">
        <f t="shared" si="10"/>
        <v>L</v>
      </c>
      <c r="G40" s="172" t="str">
        <f t="shared" si="10"/>
        <v>L</v>
      </c>
      <c r="H40" s="173" t="str">
        <f t="shared" si="10"/>
        <v/>
      </c>
      <c r="I40" s="174" t="str">
        <f t="shared" si="10"/>
        <v>L</v>
      </c>
      <c r="J40" s="172" t="str">
        <f t="shared" si="10"/>
        <v>L</v>
      </c>
      <c r="K40" s="173" t="str">
        <f t="shared" si="10"/>
        <v/>
      </c>
      <c r="L40" s="174" t="str">
        <f t="shared" si="10"/>
        <v>L</v>
      </c>
      <c r="M40" s="172" t="str">
        <f t="shared" si="10"/>
        <v>L</v>
      </c>
      <c r="N40" s="173" t="str">
        <f t="shared" si="10"/>
        <v/>
      </c>
      <c r="O40" s="174" t="str">
        <f t="shared" si="10"/>
        <v>L</v>
      </c>
      <c r="P40" s="175" t="s">
        <v>35</v>
      </c>
      <c r="Q40" s="176"/>
      <c r="R40" s="176" t="s">
        <v>36</v>
      </c>
      <c r="S40" s="176"/>
      <c r="T40" s="177" t="s">
        <v>31</v>
      </c>
      <c r="U40" s="127">
        <f>IFERROR(VLOOKUP('Tab Summary'!L39,TeamRecord,4,FALSE ),0)</f>
        <v>5</v>
      </c>
      <c r="V40" s="128">
        <f>IFERROR(VLOOKUP('Tab Summary'!O39,TeamRecord,4,FALSE ),0)</f>
        <v>3.5</v>
      </c>
      <c r="W40" s="129">
        <f>IFERROR(VLOOKUP('Tab Summary'!L39,TeamRecord,6,FALSE ),0)</f>
        <v>14</v>
      </c>
      <c r="X40" s="127">
        <f>IFERROR(VLOOKUP('Tab Summary'!O39,TeamRecord,6,FALSE ),0)</f>
        <v>12</v>
      </c>
      <c r="Y40" s="171">
        <f>IF(Y39&lt;&gt;0,(IF(COUNTIF('Ballot Entry'!$Z$3:$Z$35,'Tab Summary'!P41)=2,IF(P41=W39,IF(COUNTIF(D40:F40,"W")&gt;COUNTIF(D40:F40,"L"),1,0),0)+IF(P41=X39,IF(COUNTIF(G40:I40,"W")&gt;COUNTIF(G40:I40,"L"),1,0),0)+IF(P41=W40,IF(COUNTIF(J40:L40,"W")&gt;COUNTIF(J40:L40,"L"),1,0),0)+IF(P41=X40,IF(COUNTIF(M40:O40,"W")&gt;COUNTIF(M40:O40,"L"),1,0),0),0)),0)</f>
        <v>0</v>
      </c>
      <c r="Z40" s="171" t="str">
        <f>IF(Teams&gt;10,"Show", "Hide")</f>
        <v>Show</v>
      </c>
      <c r="AA40" s="158"/>
      <c r="AB40" s="158"/>
      <c r="AC40" s="159"/>
      <c r="AD40" s="159"/>
      <c r="AE40" s="158"/>
      <c r="AF40" s="158"/>
      <c r="AG40" s="159"/>
      <c r="AH40" s="159"/>
      <c r="AI40" s="159"/>
      <c r="AJ40" s="159"/>
      <c r="AK40" s="159"/>
      <c r="AL40" s="159"/>
      <c r="AM40" s="159"/>
      <c r="AN40" s="159"/>
      <c r="AO40" s="159"/>
      <c r="AP40" s="159"/>
      <c r="AQ40" s="159"/>
    </row>
    <row r="41" spans="1:43" s="151" customFormat="1" ht="13.5" customHeight="1" thickBot="1" x14ac:dyDescent="0.3">
      <c r="A41" s="436"/>
      <c r="B41" s="437"/>
      <c r="C41" s="438"/>
      <c r="D41" s="178">
        <f>IFERROR(IF(D39="Π",VLOOKUP($A39, Round1P,3,FALSE),VLOOKUP($A39,Round1D,3,FALSE)),"")</f>
        <v>2</v>
      </c>
      <c r="E41" s="179" t="str">
        <f>IFERROR(IF(Ballots=3,IF(D39="Π",VLOOKUP($A39, Round1P,5,FALSE),VLOOKUP($A39,Round1D,5,FALSE)),""),"")</f>
        <v/>
      </c>
      <c r="F41" s="180">
        <f>IFERROR(IF(D39="Π",VLOOKUP($A39, Round1P,4,FALSE),VLOOKUP($A39,Round1D,4,FALSE)),"")</f>
        <v>-4</v>
      </c>
      <c r="G41" s="178">
        <f>IFERROR(IF(G39="Π",VLOOKUP($A39, Round2P,3,FALSE),VLOOKUP($A39,Round2D,3,FALSE)),"")</f>
        <v>-3</v>
      </c>
      <c r="H41" s="179" t="str">
        <f>IFERROR(IF(Ballots=3,IF(G39="Π",VLOOKUP($A39, Round2P,5,FALSE),VLOOKUP($A39,Round2D,5,FALSE)),""),"")</f>
        <v/>
      </c>
      <c r="I41" s="180">
        <f>IFERROR(IF(G39="Π",VLOOKUP($A39, Round2P,4,FALSE),VLOOKUP($A39,Round2D,4,FALSE)),"")</f>
        <v>-4</v>
      </c>
      <c r="J41" s="178">
        <f>IFERROR(IF(J39="Π",VLOOKUP($A39, Round3P,3,FALSE),VLOOKUP($A39,Round3D,3,FALSE)),"")</f>
        <v>-6</v>
      </c>
      <c r="K41" s="179" t="str">
        <f>IFERROR(IF(Ballots=3,IF(J39="Π",VLOOKUP($A39, Round3P,5,FALSE),VLOOKUP($A39,Round3D,5,FALSE)),""),"")</f>
        <v/>
      </c>
      <c r="L41" s="180">
        <f>IFERROR(IF(J39="Π",VLOOKUP($A39, Round3P,4,FALSE),VLOOKUP($A39,Round3D,4,FALSE)),"")</f>
        <v>-10</v>
      </c>
      <c r="M41" s="178">
        <f>IFERROR(IF(M39="Π",VLOOKUP($A39, Round4P,3,FALSE),VLOOKUP($A39,Round4D,3,FALSE)),"")</f>
        <v>-20</v>
      </c>
      <c r="N41" s="179" t="str">
        <f>IFERROR(IF(Ballots=3,IF(M39="Π",VLOOKUP($A39, Round4P,5,FALSE),VLOOKUP($A39,Round4D,5,FALSE)),""),"")</f>
        <v/>
      </c>
      <c r="O41" s="180">
        <f>IFERROR(IF(M39="Π",VLOOKUP($A39, Round4P,4,FALSE),VLOOKUP($A39,Round4D,4,FALSE)),"")</f>
        <v>-2</v>
      </c>
      <c r="P41" s="181">
        <f>'Tab Summary'!U39+'Tab Summary'!V39+'Tab Summary'!U40+'Tab Summary'!V40</f>
        <v>14</v>
      </c>
      <c r="Q41" s="182"/>
      <c r="R41" s="183">
        <f>SUM('Tab Summary'!W39:X40)</f>
        <v>59</v>
      </c>
      <c r="S41" s="184"/>
      <c r="T41" s="185">
        <f>SUM(D41:O41)</f>
        <v>-47</v>
      </c>
      <c r="U41" s="130" t="s">
        <v>67</v>
      </c>
      <c r="V41" s="131">
        <f>IF(D39="Π",COUNTIF(D40:F40,"W"),0)+IF(G39="Π",COUNTIF(G40:I40,"W"),0)+IF(J39="Π",COUNTIF(J40:L40,"W"),0)+IF(M39="Π",COUNTIF(M40:O40,"W"),0)</f>
        <v>1</v>
      </c>
      <c r="W41" s="132" t="s">
        <v>68</v>
      </c>
      <c r="X41" s="130">
        <f>IF(D39="Δ",COUNTIF(D40:F40,"W"),0)+IF(G39="Δ",COUNTIF(G40:I40,"W"),0)+IF(J39="Δ",COUNTIF(J40:L40,"W"),0)+IF(M39="Δ",COUNTIF(M40:O40,"W"),0)</f>
        <v>0</v>
      </c>
      <c r="Y41" s="171"/>
      <c r="Z41" s="171" t="str">
        <f>IF(Teams&gt;10,"Show", "Hide")</f>
        <v>Show</v>
      </c>
      <c r="AA41" s="158"/>
      <c r="AB41" s="158"/>
      <c r="AC41" s="159"/>
      <c r="AD41" s="159"/>
      <c r="AE41" s="158"/>
      <c r="AF41" s="158"/>
      <c r="AG41" s="159"/>
      <c r="AH41" s="159"/>
      <c r="AI41" s="159"/>
      <c r="AJ41" s="159"/>
      <c r="AK41" s="159"/>
      <c r="AL41" s="159"/>
      <c r="AM41" s="159"/>
      <c r="AN41" s="159"/>
      <c r="AO41" s="159"/>
      <c r="AP41" s="159"/>
      <c r="AQ41" s="159"/>
    </row>
    <row r="42" spans="1:43" s="151" customFormat="1" ht="13.5" x14ac:dyDescent="0.25">
      <c r="A42" s="439">
        <f>'Tournament Info'!C26</f>
        <v>1492</v>
      </c>
      <c r="B42" s="440"/>
      <c r="C42" s="441"/>
      <c r="D42" s="186" t="str">
        <f>IF(COUNTIF('Ballot Entry'!$M$3:$M$37,$A42)=1,"Π",IF(COUNTIF('Ballot Entry'!$N$3:$N$37,$A42)=1,"Δ",""))</f>
        <v>Δ</v>
      </c>
      <c r="E42" s="187" t="s">
        <v>30</v>
      </c>
      <c r="F42" s="188">
        <f>IFERROR(IF(D42="Π",VLOOKUP($A42, Round1P,2,FALSE),VLOOKUP($A42,Round1D,2,FALSE)),"")</f>
        <v>1577</v>
      </c>
      <c r="G42" s="186" t="str">
        <f>IF(COUNTIF('Ballot Entry'!$M$109:$M$143,$A42)=1,"Π",IF(COUNTIF('Ballot Entry'!$N$109:$N$143,$A42)=1,"Δ",""))</f>
        <v>Π</v>
      </c>
      <c r="H42" s="187" t="s">
        <v>30</v>
      </c>
      <c r="I42" s="188">
        <f>IFERROR(IF(G42="Π",VLOOKUP($A42, Round2P,2,FALSE),VLOOKUP($A42,Round2D,2,FALSE)),"")</f>
        <v>1557</v>
      </c>
      <c r="J42" s="186" t="str">
        <f>IF(COUNTIF('Ballot Entry'!$M$215:$M$249,$A42)=1,"Π",IF(COUNTIF('Ballot Entry'!$N$215:$N$249,$A42)=1,"Δ",""))</f>
        <v>Δ</v>
      </c>
      <c r="K42" s="187" t="s">
        <v>30</v>
      </c>
      <c r="L42" s="188">
        <f>IFERROR(IF(J42="Π",VLOOKUP($A42, Round3P,2,FALSE),VLOOKUP($A42,Round3D,2,FALSE)),"")</f>
        <v>1693</v>
      </c>
      <c r="M42" s="186" t="str">
        <f>IF(COUNTIF('Ballot Entry'!$M$321:$M$355,$A42)=1,"Π",IF(COUNTIF('Ballot Entry'!$N$321:$N$355,$A42)=1,"Δ",""))</f>
        <v>Π</v>
      </c>
      <c r="N42" s="187" t="s">
        <v>30</v>
      </c>
      <c r="O42" s="188">
        <f>IFERROR(IF(M42="Π",VLOOKUP($A42, Round4P,2,FALSE),VLOOKUP($A42,Round4D,2,FALSE)),"")</f>
        <v>1258</v>
      </c>
      <c r="P42" s="189">
        <f>COUNTIF(D43:O43,"W")</f>
        <v>4</v>
      </c>
      <c r="Q42" s="190" t="s">
        <v>34</v>
      </c>
      <c r="R42" s="191">
        <f>COUNTIF(D43:O43,"L")</f>
        <v>4</v>
      </c>
      <c r="S42" s="192" t="s">
        <v>34</v>
      </c>
      <c r="T42" s="193">
        <f>COUNTIF(D43:O43,"T")</f>
        <v>0</v>
      </c>
      <c r="U42" s="124">
        <f>IFERROR(VLOOKUP('Tab Summary'!F42,TeamRecord,4,FALSE ),0)</f>
        <v>7.5</v>
      </c>
      <c r="V42" s="125">
        <f>IFERROR(VLOOKUP('Tab Summary'!I42,TeamRecord,4,FALSE ),0)</f>
        <v>4</v>
      </c>
      <c r="W42" s="126">
        <f>IFERROR(VLOOKUP('Tab Summary'!F42,TeamRecord,6,FALSE ),0)</f>
        <v>13.5</v>
      </c>
      <c r="X42" s="124">
        <f>IFERROR(VLOOKUP('Tab Summary'!I42,TeamRecord,6,FALSE ),0)</f>
        <v>16.5</v>
      </c>
      <c r="Y42" s="171">
        <f>IF(COUNTIF('Ballot Entry'!$X$3:$X$221,(P42+(T42/2)))=2,IF((P42+(T42/2))=U42,IF(COUNTIF(D43:F43,"W")&gt;COUNTIF(D43:F43,"L"),F42,0),0)+IF((P42+(T42/2))=V42,IF(COUNTIF(G43:I43,"W")&gt;COUNTIF(G43:I43,"L"),I42,0),0)+IF((P42+(T42/2))=U43,IF(COUNTIF(J43:L43,"W")&gt;COUNTIF(J43:L43,"L"),L42,0),0)+IF((P42+(T42/2))=V43,IF(COUNTIF(M43:O43,"W")&gt;COUNTIF(M43:O43,"L"),O42,0),0),0)</f>
        <v>0</v>
      </c>
      <c r="Z42" s="171" t="str">
        <f>IF(Teams&gt;11,"Show", "Hide")</f>
        <v>Show</v>
      </c>
      <c r="AA42" s="158"/>
      <c r="AB42" s="158"/>
      <c r="AC42" s="159"/>
      <c r="AD42" s="159"/>
      <c r="AE42" s="158"/>
      <c r="AF42" s="158"/>
      <c r="AG42" s="159"/>
      <c r="AH42" s="159"/>
      <c r="AI42" s="159"/>
      <c r="AJ42" s="159"/>
      <c r="AK42" s="159"/>
      <c r="AL42" s="159"/>
      <c r="AM42" s="159"/>
      <c r="AN42" s="159"/>
      <c r="AO42" s="159"/>
      <c r="AP42" s="159"/>
      <c r="AQ42" s="159"/>
    </row>
    <row r="43" spans="1:43" s="151" customFormat="1" ht="12.75" customHeight="1" x14ac:dyDescent="0.25">
      <c r="A43" s="424" t="str">
        <f>'Tournament Info'!B26</f>
        <v>UCLA</v>
      </c>
      <c r="B43" s="425"/>
      <c r="C43" s="426"/>
      <c r="D43" s="194" t="str">
        <f t="shared" ref="D43:O43" si="11">IF(D44="","",IF(D44&gt;0,"W",IF(D44&lt;0,"L",IF(D44=0,"T"))))</f>
        <v>L</v>
      </c>
      <c r="E43" s="195" t="str">
        <f t="shared" si="11"/>
        <v/>
      </c>
      <c r="F43" s="196" t="str">
        <f t="shared" si="11"/>
        <v>L</v>
      </c>
      <c r="G43" s="194" t="str">
        <f t="shared" si="11"/>
        <v>L</v>
      </c>
      <c r="H43" s="195" t="str">
        <f t="shared" si="11"/>
        <v/>
      </c>
      <c r="I43" s="196" t="str">
        <f t="shared" si="11"/>
        <v>W</v>
      </c>
      <c r="J43" s="194" t="str">
        <f t="shared" si="11"/>
        <v>W</v>
      </c>
      <c r="K43" s="195" t="str">
        <f t="shared" si="11"/>
        <v/>
      </c>
      <c r="L43" s="196" t="str">
        <f t="shared" si="11"/>
        <v>W</v>
      </c>
      <c r="M43" s="194" t="str">
        <f t="shared" si="11"/>
        <v>L</v>
      </c>
      <c r="N43" s="195" t="str">
        <f t="shared" si="11"/>
        <v/>
      </c>
      <c r="O43" s="196" t="str">
        <f t="shared" si="11"/>
        <v>W</v>
      </c>
      <c r="P43" s="197" t="s">
        <v>35</v>
      </c>
      <c r="Q43" s="198"/>
      <c r="R43" s="198" t="s">
        <v>36</v>
      </c>
      <c r="S43" s="198"/>
      <c r="T43" s="199" t="s">
        <v>31</v>
      </c>
      <c r="U43" s="127">
        <f>IFERROR(VLOOKUP('Tab Summary'!L42,TeamRecord,4,FALSE ),0)</f>
        <v>2</v>
      </c>
      <c r="V43" s="128">
        <f>IFERROR(VLOOKUP('Tab Summary'!O42,TeamRecord,4,FALSE ),0)</f>
        <v>3</v>
      </c>
      <c r="W43" s="129">
        <f>IFERROR(VLOOKUP('Tab Summary'!L42,TeamRecord,6,FALSE ),0)</f>
        <v>16</v>
      </c>
      <c r="X43" s="127">
        <f>IFERROR(VLOOKUP('Tab Summary'!O42,TeamRecord,6,FALSE ),0)</f>
        <v>14.5</v>
      </c>
      <c r="Y43" s="171">
        <f>IF(Y42&lt;&gt;0,(IF(COUNTIF('Ballot Entry'!$Z$3:$Z$35,'Tab Summary'!P44)=2,IF(P44=W42,IF(COUNTIF(D43:F43,"W")&gt;COUNTIF(D43:F43,"L"),1,0),0)+IF(P44=X42,IF(COUNTIF(G43:I43,"W")&gt;COUNTIF(G43:I43,"L"),1,0),0)+IF(P44=W43,IF(COUNTIF(J43:L43,"W")&gt;COUNTIF(J43:L43,"L"),1,0),0)+IF(P44=X43,IF(COUNTIF(M43:O43,"W")&gt;COUNTIF(M43:O43,"L"),1,0),0),0)),0)</f>
        <v>0</v>
      </c>
      <c r="Z43" s="171" t="str">
        <f>IF(Teams&gt;11,"Show", "Hide")</f>
        <v>Show</v>
      </c>
      <c r="AA43" s="158"/>
      <c r="AB43" s="158"/>
      <c r="AC43" s="159"/>
      <c r="AD43" s="159"/>
      <c r="AE43" s="158"/>
      <c r="AF43" s="158"/>
      <c r="AG43" s="159"/>
      <c r="AH43" s="159"/>
      <c r="AI43" s="159"/>
      <c r="AJ43" s="159"/>
      <c r="AK43" s="159"/>
      <c r="AL43" s="159"/>
      <c r="AM43" s="159"/>
      <c r="AN43" s="159"/>
      <c r="AO43" s="159"/>
      <c r="AP43" s="159"/>
      <c r="AQ43" s="159"/>
    </row>
    <row r="44" spans="1:43" s="151" customFormat="1" ht="13.5" customHeight="1" thickBot="1" x14ac:dyDescent="0.3">
      <c r="A44" s="427"/>
      <c r="B44" s="428"/>
      <c r="C44" s="429"/>
      <c r="D44" s="200">
        <f>IFERROR(IF(D42="Π",VLOOKUP($A42, Round1P,3,FALSE),VLOOKUP($A42,Round1D,3,FALSE)),"")</f>
        <v>-3</v>
      </c>
      <c r="E44" s="201" t="str">
        <f>IFERROR(IF(Ballots=3,IF(D42="Π",VLOOKUP($A42, Round1P,5,FALSE),VLOOKUP($A42,Round1D,5,FALSE)),""),"")</f>
        <v/>
      </c>
      <c r="F44" s="202">
        <f>IFERROR(IF(D42="Π",VLOOKUP($A42, Round1P,4,FALSE),VLOOKUP($A42,Round1D,4,FALSE)),"")</f>
        <v>-7</v>
      </c>
      <c r="G44" s="200">
        <f>IFERROR(IF(G42="Π",VLOOKUP($A42, Round2P,3,FALSE),VLOOKUP($A42,Round2D,3,FALSE)),"")</f>
        <v>-11</v>
      </c>
      <c r="H44" s="201" t="str">
        <f>IFERROR(IF(Ballots=3,IF(G42="Π",VLOOKUP($A42, Round2P,5,FALSE),VLOOKUP($A42,Round2D,5,FALSE)),""),"")</f>
        <v/>
      </c>
      <c r="I44" s="202">
        <f>IFERROR(IF(G42="Π",VLOOKUP($A42, Round2P,4,FALSE),VLOOKUP($A42,Round2D,4,FALSE)),"")</f>
        <v>3</v>
      </c>
      <c r="J44" s="200">
        <f>IFERROR(IF(J42="Π",VLOOKUP($A42, Round3P,3,FALSE),VLOOKUP($A42,Round3D,3,FALSE)),"")</f>
        <v>3</v>
      </c>
      <c r="K44" s="201" t="str">
        <f>IFERROR(IF(Ballots=3,IF(J42="Π",VLOOKUP($A42, Round3P,5,FALSE),VLOOKUP($A42,Round3D,5,FALSE)),""),"")</f>
        <v/>
      </c>
      <c r="L44" s="202">
        <f>IFERROR(IF(J42="Π",VLOOKUP($A42, Round3P,4,FALSE),VLOOKUP($A42,Round3D,4,FALSE)),"")</f>
        <v>9</v>
      </c>
      <c r="M44" s="200">
        <f>IFERROR(IF(M42="Π",VLOOKUP($A42, Round4P,3,FALSE),VLOOKUP($A42,Round4D,3,FALSE)),"")</f>
        <v>-18</v>
      </c>
      <c r="N44" s="201" t="str">
        <f>IFERROR(IF(Ballots=3,IF(M42="Π",VLOOKUP($A42, Round4P,5,FALSE),VLOOKUP($A42,Round4D,5,FALSE)),""),"")</f>
        <v/>
      </c>
      <c r="O44" s="202">
        <f>IFERROR(IF(M42="Π",VLOOKUP($A42, Round4P,4,FALSE),VLOOKUP($A42,Round4D,4,FALSE)),"")</f>
        <v>4</v>
      </c>
      <c r="P44" s="203">
        <f>'Tab Summary'!U42+'Tab Summary'!V42+'Tab Summary'!U43+'Tab Summary'!V43</f>
        <v>16.5</v>
      </c>
      <c r="Q44" s="204"/>
      <c r="R44" s="205">
        <f>SUM('Tab Summary'!W42:X43)</f>
        <v>60.5</v>
      </c>
      <c r="S44" s="206"/>
      <c r="T44" s="207">
        <f>SUM(D44:O44)</f>
        <v>-20</v>
      </c>
      <c r="U44" s="130" t="s">
        <v>67</v>
      </c>
      <c r="V44" s="131">
        <f>IF(D42="Π",COUNTIF(D43:F43,"W"),0)+IF(G42="Π",COUNTIF(G43:I43,"W"),0)+IF(J42="Π",COUNTIF(J43:L43,"W"),0)+IF(M42="Π",COUNTIF(M43:O43,"W"),0)</f>
        <v>2</v>
      </c>
      <c r="W44" s="132" t="s">
        <v>68</v>
      </c>
      <c r="X44" s="130">
        <f>IF(D42="Δ",COUNTIF(D43:F43,"W"),0)+IF(G42="Δ",COUNTIF(G43:I43,"W"),0)+IF(J42="Δ",COUNTIF(J43:L43,"W"),0)+IF(M42="Δ",COUNTIF(M43:O43,"W"),0)</f>
        <v>2</v>
      </c>
      <c r="Y44" s="171"/>
      <c r="Z44" s="171" t="str">
        <f>IF(Teams&gt;11,"Show", "Hide")</f>
        <v>Show</v>
      </c>
      <c r="AA44" s="158"/>
      <c r="AB44" s="158"/>
      <c r="AC44" s="159"/>
      <c r="AD44" s="159"/>
      <c r="AE44" s="158"/>
      <c r="AF44" s="158"/>
      <c r="AG44" s="159"/>
      <c r="AH44" s="159"/>
      <c r="AI44" s="159"/>
      <c r="AJ44" s="159"/>
      <c r="AK44" s="159"/>
      <c r="AL44" s="159"/>
      <c r="AM44" s="159"/>
      <c r="AN44" s="159"/>
      <c r="AO44" s="159"/>
      <c r="AP44" s="159"/>
      <c r="AQ44" s="159"/>
    </row>
    <row r="45" spans="1:43" s="151" customFormat="1" ht="13.5" x14ac:dyDescent="0.25">
      <c r="A45" s="430">
        <f>'Tournament Info'!C27</f>
        <v>1506</v>
      </c>
      <c r="B45" s="431"/>
      <c r="C45" s="432"/>
      <c r="D45" s="163" t="str">
        <f>IF(COUNTIF('Ballot Entry'!$M$3:$M$37,$A45)=1,"Π",IF(COUNTIF('Ballot Entry'!$N$3:$N$37,$A45)=1,"Δ",""))</f>
        <v>Π</v>
      </c>
      <c r="E45" s="164" t="s">
        <v>30</v>
      </c>
      <c r="F45" s="165">
        <f>IFERROR(IF(D45="Π",VLOOKUP($A45, Round1P,2,FALSE),VLOOKUP($A45,Round1D,2,FALSE)),"")</f>
        <v>1224</v>
      </c>
      <c r="G45" s="163" t="str">
        <f>IF(COUNTIF('Ballot Entry'!$M$109:$M$143,$A45)=1,"Π",IF(COUNTIF('Ballot Entry'!$N$109:$N$143,$A45)=1,"Δ",""))</f>
        <v>Δ</v>
      </c>
      <c r="H45" s="164" t="s">
        <v>30</v>
      </c>
      <c r="I45" s="165">
        <f>IFERROR(IF(G45="Π",VLOOKUP($A45, Round2P,2,FALSE),VLOOKUP($A45,Round2D,2,FALSE)),"")</f>
        <v>1078</v>
      </c>
      <c r="J45" s="163" t="str">
        <f>IF(COUNTIF('Ballot Entry'!$M$215:$M$249,$A45)=1,"Π",IF(COUNTIF('Ballot Entry'!$N$215:$N$249,$A45)=1,"Δ",""))</f>
        <v>Δ</v>
      </c>
      <c r="K45" s="164" t="s">
        <v>30</v>
      </c>
      <c r="L45" s="165">
        <f>IFERROR(IF(J45="Π",VLOOKUP($A45, Round3P,2,FALSE),VLOOKUP($A45,Round3D,2,FALSE)),"")</f>
        <v>1616</v>
      </c>
      <c r="M45" s="163" t="str">
        <f>IF(COUNTIF('Ballot Entry'!$M$321:$M$355,$A45)=1,"Π",IF(COUNTIF('Ballot Entry'!$N$321:$N$355,$A45)=1,"Δ",""))</f>
        <v>Π</v>
      </c>
      <c r="N45" s="164" t="s">
        <v>30</v>
      </c>
      <c r="O45" s="165">
        <f>IFERROR(IF(M45="Π",VLOOKUP($A45, Round4P,2,FALSE),VLOOKUP($A45,Round4D,2,FALSE)),"")</f>
        <v>1001</v>
      </c>
      <c r="P45" s="166">
        <f>COUNTIF(D46:O46,"W")</f>
        <v>6</v>
      </c>
      <c r="Q45" s="167" t="s">
        <v>34</v>
      </c>
      <c r="R45" s="168">
        <f>COUNTIF(D46:O46,"L")</f>
        <v>2</v>
      </c>
      <c r="S45" s="169" t="s">
        <v>34</v>
      </c>
      <c r="T45" s="170">
        <f>COUNTIF(D46:O46,"T")</f>
        <v>0</v>
      </c>
      <c r="U45" s="124">
        <f>IFERROR(VLOOKUP('Tab Summary'!F45,TeamRecord,4,FALSE ),0)</f>
        <v>5</v>
      </c>
      <c r="V45" s="125">
        <f>IFERROR(VLOOKUP('Tab Summary'!I45,TeamRecord,4,FALSE ),0)</f>
        <v>4.5</v>
      </c>
      <c r="W45" s="126">
        <f>IFERROR(VLOOKUP('Tab Summary'!F45,TeamRecord,6,FALSE ),0)</f>
        <v>14</v>
      </c>
      <c r="X45" s="124">
        <f>IFERROR(VLOOKUP('Tab Summary'!I45,TeamRecord,6,FALSE ),0)</f>
        <v>19</v>
      </c>
      <c r="Y45" s="171">
        <f>IF(COUNTIF('Ballot Entry'!$X$3:$X$221,(P45+(T45/2)))=2,IF((P45+(T45/2))=U45,IF(COUNTIF(D46:F46,"W")&gt;COUNTIF(D46:F46,"L"),F45,0),0)+IF((P45+(T45/2))=V45,IF(COUNTIF(G46:I46,"W")&gt;COUNTIF(G46:I46,"L"),I45,0),0)+IF((P45+(T45/2))=U46,IF(COUNTIF(J46:L46,"W")&gt;COUNTIF(J46:L46,"L"),L45,0),0)+IF((P45+(T45/2))=V46,IF(COUNTIF(M46:O46,"W")&gt;COUNTIF(M46:O46,"L"),O45,0),0),0)</f>
        <v>0</v>
      </c>
      <c r="Z45" s="171" t="str">
        <f>IF(Teams&gt;12,"Show", "Hide")</f>
        <v>Show</v>
      </c>
      <c r="AA45" s="158"/>
      <c r="AB45" s="158"/>
      <c r="AC45" s="159"/>
      <c r="AD45" s="159"/>
      <c r="AE45" s="158"/>
      <c r="AF45" s="158"/>
      <c r="AG45" s="159"/>
      <c r="AH45" s="159"/>
      <c r="AI45" s="159"/>
      <c r="AJ45" s="159"/>
      <c r="AK45" s="159"/>
      <c r="AL45" s="159"/>
      <c r="AM45" s="159"/>
      <c r="AN45" s="159"/>
      <c r="AO45" s="159"/>
      <c r="AP45" s="159"/>
      <c r="AQ45" s="159"/>
    </row>
    <row r="46" spans="1:43" s="151" customFormat="1" ht="12.75" customHeight="1" x14ac:dyDescent="0.25">
      <c r="A46" s="433" t="str">
        <f>'Tournament Info'!B27</f>
        <v>New York</v>
      </c>
      <c r="B46" s="434"/>
      <c r="C46" s="435"/>
      <c r="D46" s="172" t="str">
        <f t="shared" ref="D46:O46" si="12">IF(D47="","",IF(D47&gt;0,"W",IF(D47&lt;0,"L",IF(D47=0,"T"))))</f>
        <v>W</v>
      </c>
      <c r="E46" s="173" t="str">
        <f t="shared" si="12"/>
        <v/>
      </c>
      <c r="F46" s="174" t="str">
        <f t="shared" si="12"/>
        <v>W</v>
      </c>
      <c r="G46" s="172" t="str">
        <f t="shared" si="12"/>
        <v>W</v>
      </c>
      <c r="H46" s="173" t="str">
        <f t="shared" si="12"/>
        <v/>
      </c>
      <c r="I46" s="174" t="str">
        <f t="shared" si="12"/>
        <v>L</v>
      </c>
      <c r="J46" s="172" t="str">
        <f t="shared" si="12"/>
        <v>W</v>
      </c>
      <c r="K46" s="173" t="str">
        <f t="shared" si="12"/>
        <v/>
      </c>
      <c r="L46" s="174" t="str">
        <f t="shared" si="12"/>
        <v>L</v>
      </c>
      <c r="M46" s="172" t="str">
        <f t="shared" si="12"/>
        <v>W</v>
      </c>
      <c r="N46" s="173" t="str">
        <f t="shared" si="12"/>
        <v/>
      </c>
      <c r="O46" s="174" t="str">
        <f t="shared" si="12"/>
        <v>W</v>
      </c>
      <c r="P46" s="175" t="s">
        <v>35</v>
      </c>
      <c r="Q46" s="176"/>
      <c r="R46" s="176" t="s">
        <v>36</v>
      </c>
      <c r="S46" s="176"/>
      <c r="T46" s="177" t="s">
        <v>31</v>
      </c>
      <c r="U46" s="127">
        <f>IFERROR(VLOOKUP('Tab Summary'!L45,TeamRecord,4,FALSE ),0)</f>
        <v>6.5</v>
      </c>
      <c r="V46" s="128">
        <f>IFERROR(VLOOKUP('Tab Summary'!O45,TeamRecord,4,FALSE ),0)</f>
        <v>4</v>
      </c>
      <c r="W46" s="129">
        <f>IFERROR(VLOOKUP('Tab Summary'!L45,TeamRecord,6,FALSE ),0)</f>
        <v>17.5</v>
      </c>
      <c r="X46" s="127">
        <f>IFERROR(VLOOKUP('Tab Summary'!O45,TeamRecord,6,FALSE ),0)</f>
        <v>21</v>
      </c>
      <c r="Y46" s="171">
        <f>IF(Y45&lt;&gt;0,(IF(COUNTIF('Ballot Entry'!$Z$3:$Z$35,'Tab Summary'!P47)=2,IF(P47=W45,IF(COUNTIF(D46:F46,"W")&gt;COUNTIF(D46:F46,"L"),1,0),0)+IF(P47=X45,IF(COUNTIF(G46:I46,"W")&gt;COUNTIF(G46:I46,"L"),1,0),0)+IF(P47=W46,IF(COUNTIF(J46:L46,"W")&gt;COUNTIF(J46:L46,"L"),1,0),0)+IF(P47=X46,IF(COUNTIF(M46:O46,"W")&gt;COUNTIF(M46:O46,"L"),1,0),0),0)),0)</f>
        <v>0</v>
      </c>
      <c r="Z46" s="171" t="str">
        <f>IF(Teams&gt;12,"Show", "Hide")</f>
        <v>Show</v>
      </c>
      <c r="AA46" s="158"/>
      <c r="AB46" s="158"/>
      <c r="AC46" s="159"/>
      <c r="AD46" s="159"/>
      <c r="AE46" s="158"/>
      <c r="AF46" s="158"/>
      <c r="AG46" s="159"/>
      <c r="AH46" s="159"/>
      <c r="AI46" s="159"/>
      <c r="AJ46" s="159"/>
      <c r="AK46" s="159"/>
      <c r="AL46" s="159"/>
      <c r="AM46" s="159"/>
      <c r="AN46" s="159"/>
      <c r="AO46" s="159"/>
      <c r="AP46" s="159"/>
      <c r="AQ46" s="159"/>
    </row>
    <row r="47" spans="1:43" s="151" customFormat="1" ht="13.5" customHeight="1" thickBot="1" x14ac:dyDescent="0.3">
      <c r="A47" s="436"/>
      <c r="B47" s="437"/>
      <c r="C47" s="438"/>
      <c r="D47" s="178">
        <f>IFERROR(IF(D45="Π",VLOOKUP($A45, Round1P,3,FALSE),VLOOKUP($A45,Round1D,3,FALSE)),"")</f>
        <v>14</v>
      </c>
      <c r="E47" s="179" t="str">
        <f>IFERROR(IF(Ballots=3,IF(D45="Π",VLOOKUP($A45, Round1P,5,FALSE),VLOOKUP($A45,Round1D,5,FALSE)),""),"")</f>
        <v/>
      </c>
      <c r="F47" s="180">
        <f>IFERROR(IF(D45="Π",VLOOKUP($A45, Round1P,4,FALSE),VLOOKUP($A45,Round1D,4,FALSE)),"")</f>
        <v>15</v>
      </c>
      <c r="G47" s="178">
        <f>IFERROR(IF(G45="Π",VLOOKUP($A45, Round2P,3,FALSE),VLOOKUP($A45,Round2D,3,FALSE)),"")</f>
        <v>4</v>
      </c>
      <c r="H47" s="179" t="str">
        <f>IFERROR(IF(Ballots=3,IF(G45="Π",VLOOKUP($A45, Round2P,5,FALSE),VLOOKUP($A45,Round2D,5,FALSE)),""),"")</f>
        <v/>
      </c>
      <c r="I47" s="180">
        <f>IFERROR(IF(G45="Π",VLOOKUP($A45, Round2P,4,FALSE),VLOOKUP($A45,Round2D,4,FALSE)),"")</f>
        <v>-3</v>
      </c>
      <c r="J47" s="178">
        <f>IFERROR(IF(J45="Π",VLOOKUP($A45, Round3P,3,FALSE),VLOOKUP($A45,Round3D,3,FALSE)),"")</f>
        <v>10</v>
      </c>
      <c r="K47" s="179" t="str">
        <f>IFERROR(IF(Ballots=3,IF(J45="Π",VLOOKUP($A45, Round3P,5,FALSE),VLOOKUP($A45,Round3D,5,FALSE)),""),"")</f>
        <v/>
      </c>
      <c r="L47" s="180">
        <f>IFERROR(IF(J45="Π",VLOOKUP($A45, Round3P,4,FALSE),VLOOKUP($A45,Round3D,4,FALSE)),"")</f>
        <v>-11</v>
      </c>
      <c r="M47" s="178">
        <f>IFERROR(IF(M45="Π",VLOOKUP($A45, Round4P,3,FALSE),VLOOKUP($A45,Round4D,3,FALSE)),"")</f>
        <v>10</v>
      </c>
      <c r="N47" s="179" t="str">
        <f>IFERROR(IF(Ballots=3,IF(M45="Π",VLOOKUP($A45, Round4P,5,FALSE),VLOOKUP($A45,Round4D,5,FALSE)),""),"")</f>
        <v/>
      </c>
      <c r="O47" s="180">
        <f>IFERROR(IF(M45="Π",VLOOKUP($A45, Round4P,4,FALSE),VLOOKUP($A45,Round4D,4,FALSE)),"")</f>
        <v>1</v>
      </c>
      <c r="P47" s="181">
        <f>'Tab Summary'!U45+'Tab Summary'!V45+'Tab Summary'!U46+'Tab Summary'!V46</f>
        <v>20</v>
      </c>
      <c r="Q47" s="182"/>
      <c r="R47" s="183">
        <f>SUM('Tab Summary'!W45:X46)</f>
        <v>71.5</v>
      </c>
      <c r="S47" s="184"/>
      <c r="T47" s="185">
        <f>SUM(D47:O47)</f>
        <v>40</v>
      </c>
      <c r="U47" s="130" t="s">
        <v>67</v>
      </c>
      <c r="V47" s="131">
        <f>IF(D45="Π",COUNTIF(D46:F46,"W"),0)+IF(G45="Π",COUNTIF(G46:I46,"W"),0)+IF(J45="Π",COUNTIF(J46:L46,"W"),0)+IF(M45="Π",COUNTIF(M46:O46,"W"),0)</f>
        <v>4</v>
      </c>
      <c r="W47" s="132" t="s">
        <v>68</v>
      </c>
      <c r="X47" s="130">
        <f>IF(D45="Δ",COUNTIF(D46:F46,"W"),0)+IF(G45="Δ",COUNTIF(G46:I46,"W"),0)+IF(J45="Δ",COUNTIF(J46:L46,"W"),0)+IF(M45="Δ",COUNTIF(M46:O46,"W"),0)</f>
        <v>2</v>
      </c>
      <c r="Y47" s="171"/>
      <c r="Z47" s="171" t="str">
        <f>IF(Teams&gt;12,"Show", "Hide")</f>
        <v>Show</v>
      </c>
      <c r="AA47" s="158"/>
      <c r="AB47" s="158"/>
      <c r="AC47" s="159"/>
      <c r="AD47" s="159"/>
      <c r="AE47" s="158"/>
      <c r="AF47" s="158"/>
      <c r="AG47" s="159"/>
      <c r="AH47" s="159"/>
      <c r="AI47" s="159"/>
      <c r="AJ47" s="159"/>
      <c r="AK47" s="159"/>
      <c r="AL47" s="159"/>
      <c r="AM47" s="159"/>
      <c r="AN47" s="159"/>
      <c r="AO47" s="159"/>
      <c r="AP47" s="159"/>
      <c r="AQ47" s="159"/>
    </row>
    <row r="48" spans="1:43" s="151" customFormat="1" ht="13.5" x14ac:dyDescent="0.25">
      <c r="A48" s="439">
        <f>'Tournament Info'!C28</f>
        <v>1517</v>
      </c>
      <c r="B48" s="440"/>
      <c r="C48" s="441"/>
      <c r="D48" s="186" t="str">
        <f>IF(COUNTIF('Ballot Entry'!$M$3:$M$37,$A48)=1,"Π",IF(COUNTIF('Ballot Entry'!$N$3:$N$37,$A48)=1,"Δ",""))</f>
        <v>Δ</v>
      </c>
      <c r="E48" s="187" t="s">
        <v>30</v>
      </c>
      <c r="F48" s="188">
        <f>IFERROR(IF(D48="Π",VLOOKUP($A48, Round1P,2,FALSE),VLOOKUP($A48,Round1D,2,FALSE)),"")</f>
        <v>1557</v>
      </c>
      <c r="G48" s="186" t="str">
        <f>IF(COUNTIF('Ballot Entry'!$M$109:$M$143,$A48)=1,"Π",IF(COUNTIF('Ballot Entry'!$N$109:$N$143,$A48)=1,"Δ",""))</f>
        <v>Π</v>
      </c>
      <c r="H48" s="187" t="s">
        <v>30</v>
      </c>
      <c r="I48" s="188">
        <f>IFERROR(IF(G48="Π",VLOOKUP($A48, Round2P,2,FALSE),VLOOKUP($A48,Round2D,2,FALSE)),"")</f>
        <v>1489</v>
      </c>
      <c r="J48" s="186" t="str">
        <f>IF(COUNTIF('Ballot Entry'!$M$215:$M$249,$A48)=1,"Π",IF(COUNTIF('Ballot Entry'!$N$215:$N$249,$A48)=1,"Δ",""))</f>
        <v>Π</v>
      </c>
      <c r="K48" s="187" t="s">
        <v>30</v>
      </c>
      <c r="L48" s="188">
        <f>IFERROR(IF(J48="Π",VLOOKUP($A48, Round3P,2,FALSE),VLOOKUP($A48,Round3D,2,FALSE)),"")</f>
        <v>1078</v>
      </c>
      <c r="M48" s="186" t="str">
        <f>IF(COUNTIF('Ballot Entry'!$M$321:$M$355,$A48)=1,"Π",IF(COUNTIF('Ballot Entry'!$N$321:$N$355,$A48)=1,"Δ",""))</f>
        <v>Δ</v>
      </c>
      <c r="N48" s="187" t="s">
        <v>30</v>
      </c>
      <c r="O48" s="188">
        <f>IFERROR(IF(M48="Π",VLOOKUP($A48, Round4P,2,FALSE),VLOOKUP($A48,Round4D,2,FALSE)),"")</f>
        <v>1577</v>
      </c>
      <c r="P48" s="189">
        <f>COUNTIF(D49:O49,"W")</f>
        <v>4</v>
      </c>
      <c r="Q48" s="190" t="s">
        <v>34</v>
      </c>
      <c r="R48" s="191">
        <f>COUNTIF(D49:O49,"L")</f>
        <v>3</v>
      </c>
      <c r="S48" s="192" t="s">
        <v>34</v>
      </c>
      <c r="T48" s="193">
        <f>COUNTIF(D49:O49,"T")</f>
        <v>1</v>
      </c>
      <c r="U48" s="124">
        <f>IFERROR(VLOOKUP('Tab Summary'!F48,TeamRecord,4,FALSE ),0)</f>
        <v>4</v>
      </c>
      <c r="V48" s="125">
        <f>IFERROR(VLOOKUP('Tab Summary'!I48,TeamRecord,4,FALSE ),0)</f>
        <v>1</v>
      </c>
      <c r="W48" s="126">
        <f>IFERROR(VLOOKUP('Tab Summary'!F48,TeamRecord,6,FALSE ),0)</f>
        <v>16.5</v>
      </c>
      <c r="X48" s="124">
        <f>IFERROR(VLOOKUP('Tab Summary'!I48,TeamRecord,6,FALSE ),0)</f>
        <v>14</v>
      </c>
      <c r="Y48" s="171">
        <f>IF(COUNTIF('Ballot Entry'!$X$3:$X$221,(P48+(T48/2)))=2,IF((P48+(T48/2))=U48,IF(COUNTIF(D49:F49,"W")&gt;COUNTIF(D49:F49,"L"),F48,0),0)+IF((P48+(T48/2))=V48,IF(COUNTIF(G49:I49,"W")&gt;COUNTIF(G49:I49,"L"),I48,0),0)+IF((P48+(T48/2))=U49,IF(COUNTIF(J49:L49,"W")&gt;COUNTIF(J49:L49,"L"),L48,0),0)+IF((P48+(T48/2))=V49,IF(COUNTIF(M49:O49,"W")&gt;COUNTIF(M49:O49,"L"),O48,0),0),0)</f>
        <v>0</v>
      </c>
      <c r="Z48" s="171" t="str">
        <f>IF(Teams&gt;13,"Show", "Hide")</f>
        <v>Show</v>
      </c>
      <c r="AA48" s="158"/>
      <c r="AB48" s="158"/>
      <c r="AC48" s="159"/>
      <c r="AD48" s="159"/>
      <c r="AE48" s="158"/>
      <c r="AF48" s="158"/>
      <c r="AG48" s="159"/>
      <c r="AH48" s="159"/>
      <c r="AI48" s="159"/>
      <c r="AJ48" s="159"/>
      <c r="AK48" s="159"/>
      <c r="AL48" s="159"/>
      <c r="AM48" s="159"/>
      <c r="AN48" s="159"/>
      <c r="AO48" s="159"/>
      <c r="AP48" s="159"/>
      <c r="AQ48" s="159"/>
    </row>
    <row r="49" spans="1:43" s="151" customFormat="1" ht="12.75" customHeight="1" x14ac:dyDescent="0.25">
      <c r="A49" s="424" t="str">
        <f>'Tournament Info'!B28</f>
        <v>UC Irvine</v>
      </c>
      <c r="B49" s="425"/>
      <c r="C49" s="426"/>
      <c r="D49" s="194" t="str">
        <f t="shared" ref="D49:O49" si="13">IF(D50="","",IF(D50&gt;0,"W",IF(D50&lt;0,"L",IF(D50=0,"T"))))</f>
        <v>W</v>
      </c>
      <c r="E49" s="195" t="str">
        <f t="shared" si="13"/>
        <v/>
      </c>
      <c r="F49" s="196" t="str">
        <f t="shared" si="13"/>
        <v>L</v>
      </c>
      <c r="G49" s="194" t="str">
        <f t="shared" si="13"/>
        <v>W</v>
      </c>
      <c r="H49" s="195" t="str">
        <f t="shared" si="13"/>
        <v/>
      </c>
      <c r="I49" s="196" t="str">
        <f t="shared" si="13"/>
        <v>W</v>
      </c>
      <c r="J49" s="194" t="str">
        <f t="shared" si="13"/>
        <v>W</v>
      </c>
      <c r="K49" s="195" t="str">
        <f t="shared" si="13"/>
        <v/>
      </c>
      <c r="L49" s="196" t="str">
        <f t="shared" si="13"/>
        <v>T</v>
      </c>
      <c r="M49" s="194" t="str">
        <f t="shared" si="13"/>
        <v>L</v>
      </c>
      <c r="N49" s="195" t="str">
        <f t="shared" si="13"/>
        <v/>
      </c>
      <c r="O49" s="196" t="str">
        <f t="shared" si="13"/>
        <v>L</v>
      </c>
      <c r="P49" s="197" t="s">
        <v>35</v>
      </c>
      <c r="Q49" s="198"/>
      <c r="R49" s="198" t="s">
        <v>36</v>
      </c>
      <c r="S49" s="198"/>
      <c r="T49" s="199" t="s">
        <v>31</v>
      </c>
      <c r="U49" s="127">
        <f>IFERROR(VLOOKUP('Tab Summary'!L48,TeamRecord,4,FALSE ),0)</f>
        <v>4.5</v>
      </c>
      <c r="V49" s="128">
        <f>IFERROR(VLOOKUP('Tab Summary'!O48,TeamRecord,4,FALSE ),0)</f>
        <v>7.5</v>
      </c>
      <c r="W49" s="129">
        <f>IFERROR(VLOOKUP('Tab Summary'!L48,TeamRecord,6,FALSE ),0)</f>
        <v>19</v>
      </c>
      <c r="X49" s="127">
        <f>IFERROR(VLOOKUP('Tab Summary'!O48,TeamRecord,6,FALSE ),0)</f>
        <v>13.5</v>
      </c>
      <c r="Y49" s="171">
        <f>IF(Y48&lt;&gt;0,(IF(COUNTIF('Ballot Entry'!$Z$3:$Z$35,'Tab Summary'!P50)=2,IF(P50=W48,IF(COUNTIF(D49:F49,"W")&gt;COUNTIF(D49:F49,"L"),1,0),0)+IF(P50=X48,IF(COUNTIF(G49:I49,"W")&gt;COUNTIF(G49:I49,"L"),1,0),0)+IF(P50=W49,IF(COUNTIF(J49:L49,"W")&gt;COUNTIF(J49:L49,"L"),1,0),0)+IF(P50=X49,IF(COUNTIF(M49:O49,"W")&gt;COUNTIF(M49:O49,"L"),1,0),0),0)),0)</f>
        <v>0</v>
      </c>
      <c r="Z49" s="171" t="str">
        <f>IF(Teams&gt;13,"Show", "Hide")</f>
        <v>Show</v>
      </c>
      <c r="AA49" s="158"/>
      <c r="AB49" s="158"/>
      <c r="AC49" s="159"/>
      <c r="AD49" s="159"/>
      <c r="AE49" s="158"/>
      <c r="AF49" s="158"/>
      <c r="AG49" s="159"/>
      <c r="AH49" s="159"/>
      <c r="AI49" s="159"/>
      <c r="AJ49" s="159"/>
      <c r="AK49" s="159"/>
      <c r="AL49" s="159"/>
      <c r="AM49" s="159"/>
      <c r="AN49" s="159"/>
      <c r="AO49" s="159"/>
      <c r="AP49" s="159"/>
      <c r="AQ49" s="159"/>
    </row>
    <row r="50" spans="1:43" s="151" customFormat="1" ht="13.5" customHeight="1" thickBot="1" x14ac:dyDescent="0.3">
      <c r="A50" s="427"/>
      <c r="B50" s="428"/>
      <c r="C50" s="429"/>
      <c r="D50" s="200">
        <f>IFERROR(IF(D48="Π",VLOOKUP($A48, Round1P,3,FALSE),VLOOKUP($A48,Round1D,3,FALSE)),"")</f>
        <v>1</v>
      </c>
      <c r="E50" s="201" t="str">
        <f>IFERROR(IF(Ballots=3,IF(D48="Π",VLOOKUP($A48, Round1P,5,FALSE),VLOOKUP($A48,Round1D,5,FALSE)),""),"")</f>
        <v/>
      </c>
      <c r="F50" s="202">
        <f>IFERROR(IF(D48="Π",VLOOKUP($A48, Round1P,4,FALSE),VLOOKUP($A48,Round1D,4,FALSE)),"")</f>
        <v>-5</v>
      </c>
      <c r="G50" s="200">
        <f>IFERROR(IF(G48="Π",VLOOKUP($A48, Round2P,3,FALSE),VLOOKUP($A48,Round2D,3,FALSE)),"")</f>
        <v>3</v>
      </c>
      <c r="H50" s="201" t="str">
        <f>IFERROR(IF(Ballots=3,IF(G48="Π",VLOOKUP($A48, Round2P,5,FALSE),VLOOKUP($A48,Round2D,5,FALSE)),""),"")</f>
        <v/>
      </c>
      <c r="I50" s="202">
        <f>IFERROR(IF(G48="Π",VLOOKUP($A48, Round2P,4,FALSE),VLOOKUP($A48,Round2D,4,FALSE)),"")</f>
        <v>4</v>
      </c>
      <c r="J50" s="200">
        <f>IFERROR(IF(J48="Π",VLOOKUP($A48, Round3P,3,FALSE),VLOOKUP($A48,Round3D,3,FALSE)),"")</f>
        <v>1</v>
      </c>
      <c r="K50" s="201" t="str">
        <f>IFERROR(IF(Ballots=3,IF(J48="Π",VLOOKUP($A48, Round3P,5,FALSE),VLOOKUP($A48,Round3D,5,FALSE)),""),"")</f>
        <v/>
      </c>
      <c r="L50" s="202">
        <f>IFERROR(IF(J48="Π",VLOOKUP($A48, Round3P,4,FALSE),VLOOKUP($A48,Round3D,4,FALSE)),"")</f>
        <v>0</v>
      </c>
      <c r="M50" s="200">
        <f>IFERROR(IF(M48="Π",VLOOKUP($A48, Round4P,3,FALSE),VLOOKUP($A48,Round4D,3,FALSE)),"")</f>
        <v>-10</v>
      </c>
      <c r="N50" s="201" t="str">
        <f>IFERROR(IF(Ballots=3,IF(M48="Π",VLOOKUP($A48, Round4P,5,FALSE),VLOOKUP($A48,Round4D,5,FALSE)),""),"")</f>
        <v/>
      </c>
      <c r="O50" s="202">
        <f>IFERROR(IF(M48="Π",VLOOKUP($A48, Round4P,4,FALSE),VLOOKUP($A48,Round4D,4,FALSE)),"")</f>
        <v>-4</v>
      </c>
      <c r="P50" s="203">
        <f>'Tab Summary'!U48+'Tab Summary'!V48+'Tab Summary'!U49+'Tab Summary'!V49</f>
        <v>17</v>
      </c>
      <c r="Q50" s="204"/>
      <c r="R50" s="205">
        <f>SUM('Tab Summary'!W48:X49)</f>
        <v>63</v>
      </c>
      <c r="S50" s="206"/>
      <c r="T50" s="207">
        <f>SUM(D50:O50)</f>
        <v>-10</v>
      </c>
      <c r="U50" s="130" t="s">
        <v>67</v>
      </c>
      <c r="V50" s="131">
        <f>IF(D48="Π",COUNTIF(D49:F49,"W"),0)+IF(G48="Π",COUNTIF(G49:I49,"W"),0)+IF(J48="Π",COUNTIF(J49:L49,"W"),0)+IF(M48="Π",COUNTIF(M49:O49,"W"),0)</f>
        <v>3</v>
      </c>
      <c r="W50" s="132" t="s">
        <v>68</v>
      </c>
      <c r="X50" s="130">
        <f>IF(D48="Δ",COUNTIF(D49:F49,"W"),0)+IF(G48="Δ",COUNTIF(G49:I49,"W"),0)+IF(J48="Δ",COUNTIF(J49:L49,"W"),0)+IF(M48="Δ",COUNTIF(M49:O49,"W"),0)</f>
        <v>1</v>
      </c>
      <c r="Y50" s="171"/>
      <c r="Z50" s="171" t="str">
        <f>IF(Teams&gt;13,"Show", "Hide")</f>
        <v>Show</v>
      </c>
      <c r="AA50" s="158"/>
      <c r="AB50" s="158"/>
      <c r="AC50" s="159"/>
      <c r="AD50" s="159"/>
      <c r="AE50" s="158"/>
      <c r="AF50" s="158"/>
      <c r="AG50" s="159"/>
      <c r="AH50" s="159"/>
      <c r="AI50" s="159"/>
      <c r="AJ50" s="159"/>
      <c r="AK50" s="159"/>
      <c r="AL50" s="159"/>
      <c r="AM50" s="159"/>
      <c r="AN50" s="159"/>
      <c r="AO50" s="159"/>
      <c r="AP50" s="159"/>
      <c r="AQ50" s="159"/>
    </row>
    <row r="51" spans="1:43" s="151" customFormat="1" ht="13.5" thickBot="1" x14ac:dyDescent="0.25">
      <c r="A51" s="444" t="s">
        <v>24</v>
      </c>
      <c r="B51" s="445"/>
      <c r="C51" s="446"/>
      <c r="D51" s="417" t="s">
        <v>25</v>
      </c>
      <c r="E51" s="418"/>
      <c r="F51" s="419"/>
      <c r="G51" s="417" t="s">
        <v>26</v>
      </c>
      <c r="H51" s="418"/>
      <c r="I51" s="419"/>
      <c r="J51" s="417" t="s">
        <v>27</v>
      </c>
      <c r="K51" s="418"/>
      <c r="L51" s="419"/>
      <c r="M51" s="417" t="s">
        <v>28</v>
      </c>
      <c r="N51" s="418"/>
      <c r="O51" s="419"/>
      <c r="P51" s="417" t="s">
        <v>64</v>
      </c>
      <c r="Q51" s="418"/>
      <c r="R51" s="418"/>
      <c r="S51" s="418"/>
      <c r="T51" s="419"/>
      <c r="U51" s="133"/>
      <c r="V51" s="134"/>
      <c r="W51" s="133"/>
      <c r="X51" s="135"/>
      <c r="Y51" s="171"/>
      <c r="Z51" s="171" t="str">
        <f>IF(Teams&gt;14,"Show", "Hide")</f>
        <v>Show</v>
      </c>
      <c r="AA51" s="158"/>
      <c r="AB51" s="158"/>
      <c r="AC51" s="159"/>
      <c r="AD51" s="159"/>
      <c r="AE51" s="158"/>
      <c r="AF51" s="158"/>
      <c r="AG51" s="159"/>
      <c r="AH51" s="159"/>
      <c r="AI51" s="159"/>
      <c r="AJ51" s="159"/>
      <c r="AK51" s="159"/>
      <c r="AL51" s="159"/>
      <c r="AM51" s="159"/>
      <c r="AN51" s="159"/>
      <c r="AO51" s="159"/>
      <c r="AP51" s="159"/>
      <c r="AQ51" s="159"/>
    </row>
    <row r="52" spans="1:43" s="151" customFormat="1" ht="13.5" x14ac:dyDescent="0.25">
      <c r="A52" s="430">
        <f>'Tournament Info'!C29</f>
        <v>1557</v>
      </c>
      <c r="B52" s="431"/>
      <c r="C52" s="432"/>
      <c r="D52" s="163" t="str">
        <f>IF(COUNTIF('Ballot Entry'!$M$3:$M$37,$A52)=1,"Π",IF(COUNTIF('Ballot Entry'!$N$3:$N$37,$A52)=1,"Δ",""))</f>
        <v>Π</v>
      </c>
      <c r="E52" s="164" t="s">
        <v>30</v>
      </c>
      <c r="F52" s="165">
        <f>IFERROR(IF(D52="Π",VLOOKUP($A52, Round1P,2,FALSE),VLOOKUP($A52,Round1D,2,FALSE)),"")</f>
        <v>1517</v>
      </c>
      <c r="G52" s="163" t="str">
        <f>IF(COUNTIF('Ballot Entry'!$M$109:$M$143,$A52)=1,"Π",IF(COUNTIF('Ballot Entry'!$N$109:$N$143,$A52)=1,"Δ",""))</f>
        <v>Δ</v>
      </c>
      <c r="H52" s="164" t="s">
        <v>30</v>
      </c>
      <c r="I52" s="165">
        <f>IFERROR(IF(G52="Π",VLOOKUP($A52, Round2P,2,FALSE),VLOOKUP($A52,Round2D,2,FALSE)),"")</f>
        <v>1492</v>
      </c>
      <c r="J52" s="163" t="str">
        <f>IF(COUNTIF('Ballot Entry'!$M$215:$M$249,$A52)=1,"Π",IF(COUNTIF('Ballot Entry'!$N$215:$N$249,$A52)=1,"Δ",""))</f>
        <v>Δ</v>
      </c>
      <c r="K52" s="164" t="s">
        <v>30</v>
      </c>
      <c r="L52" s="165">
        <f>IFERROR(IF(J52="Π",VLOOKUP($A52, Round3P,2,FALSE),VLOOKUP($A52,Round3D,2,FALSE)),"")</f>
        <v>1258</v>
      </c>
      <c r="M52" s="163" t="str">
        <f>IF(COUNTIF('Ballot Entry'!$M$321:$M$355,$A52)=1,"Π",IF(COUNTIF('Ballot Entry'!$N$321:$N$355,$A52)=1,"Δ",""))</f>
        <v>Π</v>
      </c>
      <c r="N52" s="164" t="s">
        <v>30</v>
      </c>
      <c r="O52" s="165">
        <f>IFERROR(IF(M52="Π",VLOOKUP($A52, Round4P,2,FALSE),VLOOKUP($A52,Round4D,2,FALSE)),"")</f>
        <v>1268</v>
      </c>
      <c r="P52" s="166">
        <f>COUNTIF(D53:O53,"W")</f>
        <v>4</v>
      </c>
      <c r="Q52" s="167" t="s">
        <v>34</v>
      </c>
      <c r="R52" s="168">
        <f>COUNTIF(D53:O53,"L")</f>
        <v>4</v>
      </c>
      <c r="S52" s="169" t="s">
        <v>34</v>
      </c>
      <c r="T52" s="170">
        <f>COUNTIF(D53:O53,"T")</f>
        <v>0</v>
      </c>
      <c r="U52" s="124">
        <f>IFERROR(VLOOKUP('Tab Summary'!F52,TeamRecord,4,FALSE ),0)</f>
        <v>4.5</v>
      </c>
      <c r="V52" s="125">
        <f>IFERROR(VLOOKUP('Tab Summary'!I52,TeamRecord,4,FALSE ),0)</f>
        <v>4</v>
      </c>
      <c r="W52" s="126">
        <f>IFERROR(VLOOKUP('Tab Summary'!F52,TeamRecord,6,FALSE ),0)</f>
        <v>17</v>
      </c>
      <c r="X52" s="124">
        <f>IFERROR(VLOOKUP('Tab Summary'!I52,TeamRecord,6,FALSE ),0)</f>
        <v>16.5</v>
      </c>
      <c r="Y52" s="171">
        <f>IF(COUNTIF('Ballot Entry'!$X$3:$X$221,(P52+(T52/2)))=2,IF((P52+(T52/2))=U52,IF(COUNTIF(D53:F53,"W")&gt;COUNTIF(D53:F53,"L"),F52,0),0)+IF((P52+(T52/2))=V52,IF(COUNTIF(G53:I53,"W")&gt;COUNTIF(G53:I53,"L"),I52,0),0)+IF((P52+(T52/2))=U53,IF(COUNTIF(J53:L53,"W")&gt;COUNTIF(J53:L53,"L"),L52,0),0)+IF((P52+(T52/2))=V53,IF(COUNTIF(M53:O53,"W")&gt;COUNTIF(M53:O53,"L"),O52,0),0),0)</f>
        <v>0</v>
      </c>
      <c r="Z52" s="171" t="str">
        <f>IF(Teams&gt;14,"Show", "Hide")</f>
        <v>Show</v>
      </c>
      <c r="AA52" s="158"/>
      <c r="AB52" s="158"/>
      <c r="AC52" s="159"/>
      <c r="AD52" s="159"/>
      <c r="AE52" s="158"/>
      <c r="AF52" s="158"/>
      <c r="AG52" s="159"/>
      <c r="AH52" s="159"/>
      <c r="AI52" s="159"/>
      <c r="AJ52" s="159"/>
      <c r="AK52" s="159"/>
      <c r="AL52" s="159"/>
      <c r="AM52" s="159"/>
      <c r="AN52" s="159"/>
      <c r="AO52" s="159"/>
      <c r="AP52" s="159"/>
      <c r="AQ52" s="159"/>
    </row>
    <row r="53" spans="1:43" s="151" customFormat="1" ht="12.75" customHeight="1" x14ac:dyDescent="0.25">
      <c r="A53" s="433" t="str">
        <f>'Tournament Info'!B29</f>
        <v>Harvard</v>
      </c>
      <c r="B53" s="434"/>
      <c r="C53" s="435"/>
      <c r="D53" s="172" t="str">
        <f t="shared" ref="D53:O53" si="14">IF(D54="","",IF(D54&gt;0,"W",IF(D54&lt;0,"L",IF(D54=0,"T"))))</f>
        <v>L</v>
      </c>
      <c r="E53" s="173" t="str">
        <f t="shared" si="14"/>
        <v/>
      </c>
      <c r="F53" s="174" t="str">
        <f t="shared" si="14"/>
        <v>W</v>
      </c>
      <c r="G53" s="172" t="str">
        <f t="shared" si="14"/>
        <v>W</v>
      </c>
      <c r="H53" s="173" t="str">
        <f t="shared" si="14"/>
        <v/>
      </c>
      <c r="I53" s="174" t="str">
        <f t="shared" si="14"/>
        <v>L</v>
      </c>
      <c r="J53" s="172" t="str">
        <f t="shared" si="14"/>
        <v>W</v>
      </c>
      <c r="K53" s="173" t="str">
        <f t="shared" si="14"/>
        <v/>
      </c>
      <c r="L53" s="174" t="str">
        <f t="shared" si="14"/>
        <v>W</v>
      </c>
      <c r="M53" s="172" t="str">
        <f t="shared" si="14"/>
        <v>L</v>
      </c>
      <c r="N53" s="173" t="str">
        <f t="shared" si="14"/>
        <v/>
      </c>
      <c r="O53" s="174" t="str">
        <f t="shared" si="14"/>
        <v>L</v>
      </c>
      <c r="P53" s="175" t="s">
        <v>35</v>
      </c>
      <c r="Q53" s="176"/>
      <c r="R53" s="176" t="s">
        <v>36</v>
      </c>
      <c r="S53" s="176"/>
      <c r="T53" s="177" t="s">
        <v>31</v>
      </c>
      <c r="U53" s="127">
        <f>IFERROR(VLOOKUP('Tab Summary'!L52,TeamRecord,4,FALSE ),0)</f>
        <v>3</v>
      </c>
      <c r="V53" s="128">
        <f>IFERROR(VLOOKUP('Tab Summary'!O52,TeamRecord,4,FALSE ),0)</f>
        <v>5</v>
      </c>
      <c r="W53" s="129">
        <f>IFERROR(VLOOKUP('Tab Summary'!L52,TeamRecord,6,FALSE ),0)</f>
        <v>14.5</v>
      </c>
      <c r="X53" s="127">
        <f>IFERROR(VLOOKUP('Tab Summary'!O52,TeamRecord,6,FALSE ),0)</f>
        <v>14.5</v>
      </c>
      <c r="Y53" s="171">
        <f>IF(Y52&lt;&gt;0,(IF(COUNTIF('Ballot Entry'!$Z$3:$Z$35,'Tab Summary'!P54)=2,IF(P54=W52,IF(COUNTIF(D53:F53,"W")&gt;COUNTIF(D53:F53,"L"),1,0),0)+IF(P54=X52,IF(COUNTIF(G53:I53,"W")&gt;COUNTIF(G53:I53,"L"),1,0),0)+IF(P54=W53,IF(COUNTIF(J53:L53,"W")&gt;COUNTIF(J53:L53,"L"),1,0),0)+IF(P54=X53,IF(COUNTIF(M53:O53,"W")&gt;COUNTIF(M53:O53,"L"),1,0),0),0)),0)</f>
        <v>0</v>
      </c>
      <c r="Z53" s="171" t="str">
        <f>IF(Teams&gt;14,"Show", "Hide")</f>
        <v>Show</v>
      </c>
      <c r="AA53" s="158"/>
      <c r="AB53" s="158"/>
      <c r="AC53" s="159"/>
      <c r="AD53" s="159"/>
      <c r="AE53" s="158"/>
      <c r="AF53" s="158"/>
      <c r="AG53" s="159"/>
      <c r="AH53" s="159"/>
      <c r="AI53" s="159"/>
      <c r="AJ53" s="159"/>
      <c r="AK53" s="159"/>
      <c r="AL53" s="159"/>
      <c r="AM53" s="159"/>
      <c r="AN53" s="159"/>
      <c r="AO53" s="159"/>
      <c r="AP53" s="159"/>
      <c r="AQ53" s="159"/>
    </row>
    <row r="54" spans="1:43" s="151" customFormat="1" ht="13.5" customHeight="1" thickBot="1" x14ac:dyDescent="0.3">
      <c r="A54" s="436"/>
      <c r="B54" s="437"/>
      <c r="C54" s="438"/>
      <c r="D54" s="178">
        <f>IFERROR(IF(D52="Π",VLOOKUP($A52, Round1P,3,FALSE),VLOOKUP($A52,Round1D,3,FALSE)),"")</f>
        <v>-1</v>
      </c>
      <c r="E54" s="179" t="str">
        <f>IFERROR(IF(Ballots=3,IF(D52="Π",VLOOKUP($A52, Round1P,5,FALSE),VLOOKUP($A52,Round1D,5,FALSE)),""),"")</f>
        <v/>
      </c>
      <c r="F54" s="180">
        <f>IFERROR(IF(D52="Π",VLOOKUP($A52, Round1P,4,FALSE),VLOOKUP($A52,Round1D,4,FALSE)),"")</f>
        <v>5</v>
      </c>
      <c r="G54" s="178">
        <f>IFERROR(IF(G52="Π",VLOOKUP($A52, Round2P,3,FALSE),VLOOKUP($A52,Round2D,3,FALSE)),"")</f>
        <v>11</v>
      </c>
      <c r="H54" s="179" t="str">
        <f>IFERROR(IF(Ballots=3,IF(G52="Π",VLOOKUP($A52, Round2P,5,FALSE),VLOOKUP($A52,Round2D,5,FALSE)),""),"")</f>
        <v/>
      </c>
      <c r="I54" s="180">
        <f>IFERROR(IF(G52="Π",VLOOKUP($A52, Round2P,4,FALSE),VLOOKUP($A52,Round2D,4,FALSE)),"")</f>
        <v>-3</v>
      </c>
      <c r="J54" s="178">
        <f>IFERROR(IF(J52="Π",VLOOKUP($A52, Round3P,3,FALSE),VLOOKUP($A52,Round3D,3,FALSE)),"")</f>
        <v>15</v>
      </c>
      <c r="K54" s="179" t="str">
        <f>IFERROR(IF(Ballots=3,IF(J52="Π",VLOOKUP($A52, Round3P,5,FALSE),VLOOKUP($A52,Round3D,5,FALSE)),""),"")</f>
        <v/>
      </c>
      <c r="L54" s="180">
        <f>IFERROR(IF(J52="Π",VLOOKUP($A52, Round3P,4,FALSE),VLOOKUP($A52,Round3D,4,FALSE)),"")</f>
        <v>2</v>
      </c>
      <c r="M54" s="178">
        <f>IFERROR(IF(M52="Π",VLOOKUP($A52, Round4P,3,FALSE),VLOOKUP($A52,Round4D,3,FALSE)),"")</f>
        <v>-6</v>
      </c>
      <c r="N54" s="179" t="str">
        <f>IFERROR(IF(Ballots=3,IF(M52="Π",VLOOKUP($A52, Round4P,5,FALSE),VLOOKUP($A52,Round4D,5,FALSE)),""),"")</f>
        <v/>
      </c>
      <c r="O54" s="180">
        <f>IFERROR(IF(M52="Π",VLOOKUP($A52, Round4P,4,FALSE),VLOOKUP($A52,Round4D,4,FALSE)),"")</f>
        <v>-16</v>
      </c>
      <c r="P54" s="181">
        <f>'Tab Summary'!U52+'Tab Summary'!V52+'Tab Summary'!U53+'Tab Summary'!V53</f>
        <v>16.5</v>
      </c>
      <c r="Q54" s="182"/>
      <c r="R54" s="183">
        <f>SUM('Tab Summary'!W52:X53)</f>
        <v>62.5</v>
      </c>
      <c r="S54" s="184"/>
      <c r="T54" s="185">
        <f>SUM(D54:O54)</f>
        <v>7</v>
      </c>
      <c r="U54" s="130" t="s">
        <v>67</v>
      </c>
      <c r="V54" s="131">
        <f>IF(D52="Π",COUNTIF(D53:F53,"W"),0)+IF(G52="Π",COUNTIF(G53:I53,"W"),0)+IF(J52="Π",COUNTIF(J53:L53,"W"),0)+IF(M52="Π",COUNTIF(M53:O53,"W"),0)</f>
        <v>1</v>
      </c>
      <c r="W54" s="132" t="s">
        <v>68</v>
      </c>
      <c r="X54" s="130">
        <f>IF(D52="Δ",COUNTIF(D53:F53,"W"),0)+IF(G52="Δ",COUNTIF(G53:I53,"W"),0)+IF(J52="Δ",COUNTIF(J53:L53,"W"),0)+IF(M52="Δ",COUNTIF(M53:O53,"W"),0)</f>
        <v>3</v>
      </c>
      <c r="Y54" s="171"/>
      <c r="Z54" s="171" t="str">
        <f>IF(Teams&gt;14,"Show", "Hide")</f>
        <v>Show</v>
      </c>
      <c r="AA54" s="158"/>
      <c r="AB54" s="158"/>
      <c r="AC54" s="159"/>
      <c r="AD54" s="159"/>
      <c r="AE54" s="158"/>
      <c r="AF54" s="158"/>
      <c r="AG54" s="159"/>
      <c r="AH54" s="159"/>
      <c r="AI54" s="159"/>
      <c r="AJ54" s="159"/>
      <c r="AK54" s="159"/>
      <c r="AL54" s="159"/>
      <c r="AM54" s="159"/>
      <c r="AN54" s="159"/>
      <c r="AO54" s="159"/>
      <c r="AP54" s="159"/>
      <c r="AQ54" s="159"/>
    </row>
    <row r="55" spans="1:43" s="151" customFormat="1" ht="13.5" x14ac:dyDescent="0.25">
      <c r="A55" s="439">
        <f>'Tournament Info'!C30</f>
        <v>1577</v>
      </c>
      <c r="B55" s="440"/>
      <c r="C55" s="441"/>
      <c r="D55" s="186" t="str">
        <f>IF(COUNTIF('Ballot Entry'!$M$3:$M$37,$A55)=1,"Π",IF(COUNTIF('Ballot Entry'!$N$3:$N$37,$A55)=1,"Δ",""))</f>
        <v>Π</v>
      </c>
      <c r="E55" s="187" t="s">
        <v>30</v>
      </c>
      <c r="F55" s="188">
        <f>IFERROR(IF(D55="Π",VLOOKUP($A55, Round1P,2,FALSE),VLOOKUP($A55,Round1D,2,FALSE)),"")</f>
        <v>1492</v>
      </c>
      <c r="G55" s="186" t="str">
        <f>IF(COUNTIF('Ballot Entry'!$M$109:$M$143,$A55)=1,"Π",IF(COUNTIF('Ballot Entry'!$N$109:$N$143,$A55)=1,"Δ",""))</f>
        <v>Δ</v>
      </c>
      <c r="H55" s="187" t="s">
        <v>30</v>
      </c>
      <c r="I55" s="188">
        <f>IFERROR(IF(G55="Π",VLOOKUP($A55, Round2P,2,FALSE),VLOOKUP($A55,Round2D,2,FALSE)),"")</f>
        <v>1051</v>
      </c>
      <c r="J55" s="186" t="str">
        <f>IF(COUNTIF('Ballot Entry'!$M$215:$M$249,$A55)=1,"Π",IF(COUNTIF('Ballot Entry'!$N$215:$N$249,$A55)=1,"Δ",""))</f>
        <v>Δ</v>
      </c>
      <c r="K55" s="187" t="s">
        <v>30</v>
      </c>
      <c r="L55" s="188">
        <f>IFERROR(IF(J55="Π",VLOOKUP($A55, Round3P,2,FALSE),VLOOKUP($A55,Round3D,2,FALSE)),"")</f>
        <v>1001</v>
      </c>
      <c r="M55" s="186" t="str">
        <f>IF(COUNTIF('Ballot Entry'!$M$321:$M$355,$A55)=1,"Π",IF(COUNTIF('Ballot Entry'!$N$321:$N$355,$A55)=1,"Δ",""))</f>
        <v>Π</v>
      </c>
      <c r="N55" s="187" t="s">
        <v>30</v>
      </c>
      <c r="O55" s="188">
        <f>IFERROR(IF(M55="Π",VLOOKUP($A55, Round4P,2,FALSE),VLOOKUP($A55,Round4D,2,FALSE)),"")</f>
        <v>1517</v>
      </c>
      <c r="P55" s="189">
        <f>COUNTIF(D56:O56,"W")</f>
        <v>7</v>
      </c>
      <c r="Q55" s="190" t="s">
        <v>34</v>
      </c>
      <c r="R55" s="191">
        <f>COUNTIF(D56:O56,"L")</f>
        <v>0</v>
      </c>
      <c r="S55" s="192" t="s">
        <v>34</v>
      </c>
      <c r="T55" s="193">
        <f>COUNTIF(D56:O56,"T")</f>
        <v>1</v>
      </c>
      <c r="U55" s="124">
        <f>IFERROR(VLOOKUP('Tab Summary'!F55,TeamRecord,4,FALSE ),0)</f>
        <v>4</v>
      </c>
      <c r="V55" s="125">
        <f>IFERROR(VLOOKUP('Tab Summary'!I55,TeamRecord,4,FALSE ),0)</f>
        <v>1</v>
      </c>
      <c r="W55" s="126">
        <f>IFERROR(VLOOKUP('Tab Summary'!F55,TeamRecord,6,FALSE ),0)</f>
        <v>16.5</v>
      </c>
      <c r="X55" s="124">
        <f>IFERROR(VLOOKUP('Tab Summary'!I55,TeamRecord,6,FALSE ),0)</f>
        <v>16</v>
      </c>
      <c r="Y55" s="171">
        <f>IF(COUNTIF('Ballot Entry'!$X$3:$X$221,(P55+(T55/2)))=2,IF((P55+(T55/2))=U55,IF(COUNTIF(D56:F56,"W")&gt;COUNTIF(D56:F56,"L"),F55,0),0)+IF((P55+(T55/2))=V55,IF(COUNTIF(G56:I56,"W")&gt;COUNTIF(G56:I56,"L"),I55,0),0)+IF((P55+(T55/2))=U56,IF(COUNTIF(J56:L56,"W")&gt;COUNTIF(J56:L56,"L"),L55,0),0)+IF((P55+(T55/2))=V56,IF(COUNTIF(M56:O56,"W")&gt;COUNTIF(M56:O56,"L"),O55,0),0),0)</f>
        <v>0</v>
      </c>
      <c r="Z55" s="171" t="str">
        <f>IF(Teams&gt;15,"Show", "Hide")</f>
        <v>Show</v>
      </c>
      <c r="AA55" s="158"/>
      <c r="AB55" s="158"/>
      <c r="AC55" s="159"/>
      <c r="AD55" s="159"/>
      <c r="AE55" s="158"/>
      <c r="AF55" s="158"/>
      <c r="AG55" s="159"/>
      <c r="AH55" s="159"/>
      <c r="AI55" s="159"/>
      <c r="AJ55" s="159"/>
      <c r="AK55" s="159"/>
      <c r="AL55" s="159"/>
      <c r="AM55" s="159"/>
      <c r="AN55" s="159"/>
      <c r="AO55" s="159"/>
      <c r="AP55" s="159"/>
      <c r="AQ55" s="159"/>
    </row>
    <row r="56" spans="1:43" s="151" customFormat="1" ht="12.75" customHeight="1" x14ac:dyDescent="0.25">
      <c r="A56" s="424" t="str">
        <f>'Tournament Info'!B30</f>
        <v>Yale</v>
      </c>
      <c r="B56" s="425"/>
      <c r="C56" s="426"/>
      <c r="D56" s="194" t="str">
        <f t="shared" ref="D56:O56" si="15">IF(D57="","",IF(D57&gt;0,"W",IF(D57&lt;0,"L",IF(D57=0,"T"))))</f>
        <v>W</v>
      </c>
      <c r="E56" s="195" t="str">
        <f t="shared" si="15"/>
        <v/>
      </c>
      <c r="F56" s="196" t="str">
        <f t="shared" si="15"/>
        <v>W</v>
      </c>
      <c r="G56" s="194" t="str">
        <f t="shared" si="15"/>
        <v>W</v>
      </c>
      <c r="H56" s="195" t="str">
        <f t="shared" si="15"/>
        <v/>
      </c>
      <c r="I56" s="196" t="str">
        <f t="shared" si="15"/>
        <v>W</v>
      </c>
      <c r="J56" s="194" t="str">
        <f t="shared" si="15"/>
        <v>T</v>
      </c>
      <c r="K56" s="195" t="str">
        <f t="shared" si="15"/>
        <v/>
      </c>
      <c r="L56" s="196" t="str">
        <f t="shared" si="15"/>
        <v>W</v>
      </c>
      <c r="M56" s="194" t="str">
        <f t="shared" si="15"/>
        <v>W</v>
      </c>
      <c r="N56" s="195" t="str">
        <f t="shared" si="15"/>
        <v/>
      </c>
      <c r="O56" s="196" t="str">
        <f t="shared" si="15"/>
        <v>W</v>
      </c>
      <c r="P56" s="197" t="s">
        <v>35</v>
      </c>
      <c r="Q56" s="198"/>
      <c r="R56" s="198" t="s">
        <v>36</v>
      </c>
      <c r="S56" s="198"/>
      <c r="T56" s="199" t="s">
        <v>31</v>
      </c>
      <c r="U56" s="127">
        <f>IFERROR(VLOOKUP('Tab Summary'!L55,TeamRecord,4,FALSE ),0)</f>
        <v>4</v>
      </c>
      <c r="V56" s="128">
        <f>IFERROR(VLOOKUP('Tab Summary'!O55,TeamRecord,4,FALSE ),0)</f>
        <v>4.5</v>
      </c>
      <c r="W56" s="129">
        <f>IFERROR(VLOOKUP('Tab Summary'!L55,TeamRecord,6,FALSE ),0)</f>
        <v>21</v>
      </c>
      <c r="X56" s="127">
        <f>IFERROR(VLOOKUP('Tab Summary'!O55,TeamRecord,6,FALSE ),0)</f>
        <v>17</v>
      </c>
      <c r="Y56" s="171">
        <f>IF(Y55&lt;&gt;0,(IF(COUNTIF('Ballot Entry'!$Z$3:$Z$35,'Tab Summary'!P57)=2,IF(P57=W55,IF(COUNTIF(D56:F56,"W")&gt;COUNTIF(D56:F56,"L"),1,0),0)+IF(P57=X55,IF(COUNTIF(G56:I56,"W")&gt;COUNTIF(G56:I56,"L"),1,0),0)+IF(P57=W56,IF(COUNTIF(J56:L56,"W")&gt;COUNTIF(J56:L56,"L"),1,0),0)+IF(P57=X56,IF(COUNTIF(M56:O56,"W")&gt;COUNTIF(M56:O56,"L"),1,0),0),0)),0)</f>
        <v>0</v>
      </c>
      <c r="Z56" s="171" t="str">
        <f>IF(Teams&gt;15,"Show", "Hide")</f>
        <v>Show</v>
      </c>
      <c r="AA56" s="158"/>
      <c r="AB56" s="158"/>
      <c r="AC56" s="159"/>
      <c r="AD56" s="159"/>
      <c r="AE56" s="158"/>
      <c r="AF56" s="158"/>
      <c r="AG56" s="159"/>
      <c r="AH56" s="159"/>
      <c r="AI56" s="159"/>
      <c r="AJ56" s="159"/>
      <c r="AK56" s="159"/>
      <c r="AL56" s="159"/>
      <c r="AM56" s="159"/>
      <c r="AN56" s="159"/>
      <c r="AO56" s="159"/>
      <c r="AP56" s="159"/>
      <c r="AQ56" s="159"/>
    </row>
    <row r="57" spans="1:43" s="151" customFormat="1" ht="13.5" customHeight="1" thickBot="1" x14ac:dyDescent="0.3">
      <c r="A57" s="427"/>
      <c r="B57" s="428"/>
      <c r="C57" s="429"/>
      <c r="D57" s="200">
        <f>IFERROR(IF(D55="Π",VLOOKUP($A55, Round1P,3,FALSE),VLOOKUP($A55,Round1D,3,FALSE)),"")</f>
        <v>3</v>
      </c>
      <c r="E57" s="201" t="str">
        <f>IFERROR(IF(Ballots=3,IF(D55="Π",VLOOKUP($A55, Round1P,5,FALSE),VLOOKUP($A55,Round1D,5,FALSE)),""),"")</f>
        <v/>
      </c>
      <c r="F57" s="202">
        <f>IFERROR(IF(D55="Π",VLOOKUP($A55, Round1P,4,FALSE),VLOOKUP($A55,Round1D,4,FALSE)),"")</f>
        <v>7</v>
      </c>
      <c r="G57" s="200">
        <f>IFERROR(IF(G55="Π",VLOOKUP($A55, Round2P,3,FALSE),VLOOKUP($A55,Round2D,3,FALSE)),"")</f>
        <v>6</v>
      </c>
      <c r="H57" s="201" t="str">
        <f>IFERROR(IF(Ballots=3,IF(G55="Π",VLOOKUP($A55, Round2P,5,FALSE),VLOOKUP($A55,Round2D,5,FALSE)),""),"")</f>
        <v/>
      </c>
      <c r="I57" s="202">
        <f>IFERROR(IF(G55="Π",VLOOKUP($A55, Round2P,4,FALSE),VLOOKUP($A55,Round2D,4,FALSE)),"")</f>
        <v>13</v>
      </c>
      <c r="J57" s="200">
        <f>IFERROR(IF(J55="Π",VLOOKUP($A55, Round3P,3,FALSE),VLOOKUP($A55,Round3D,3,FALSE)),"")</f>
        <v>0</v>
      </c>
      <c r="K57" s="201" t="str">
        <f>IFERROR(IF(Ballots=3,IF(J55="Π",VLOOKUP($A55, Round3P,5,FALSE),VLOOKUP($A55,Round3D,5,FALSE)),""),"")</f>
        <v/>
      </c>
      <c r="L57" s="202">
        <f>IFERROR(IF(J55="Π",VLOOKUP($A55, Round3P,4,FALSE),VLOOKUP($A55,Round3D,4,FALSE)),"")</f>
        <v>5</v>
      </c>
      <c r="M57" s="200">
        <f>IFERROR(IF(M55="Π",VLOOKUP($A55, Round4P,3,FALSE),VLOOKUP($A55,Round4D,3,FALSE)),"")</f>
        <v>10</v>
      </c>
      <c r="N57" s="201" t="str">
        <f>IFERROR(IF(Ballots=3,IF(M55="Π",VLOOKUP($A55, Round4P,5,FALSE),VLOOKUP($A55,Round4D,5,FALSE)),""),"")</f>
        <v/>
      </c>
      <c r="O57" s="202">
        <f>IFERROR(IF(M55="Π",VLOOKUP($A55, Round4P,4,FALSE),VLOOKUP($A55,Round4D,4,FALSE)),"")</f>
        <v>4</v>
      </c>
      <c r="P57" s="203">
        <f>'Tab Summary'!U55+'Tab Summary'!V55+'Tab Summary'!U56+'Tab Summary'!V56</f>
        <v>13.5</v>
      </c>
      <c r="Q57" s="204"/>
      <c r="R57" s="205">
        <f>SUM('Tab Summary'!W55:X56)</f>
        <v>70.5</v>
      </c>
      <c r="S57" s="206"/>
      <c r="T57" s="207">
        <f>SUM(D57:O57)</f>
        <v>48</v>
      </c>
      <c r="U57" s="130" t="s">
        <v>67</v>
      </c>
      <c r="V57" s="131">
        <f>IF(D55="Π",COUNTIF(D56:F56,"W"),0)+IF(G55="Π",COUNTIF(G56:I56,"W"),0)+IF(J55="Π",COUNTIF(J56:L56,"W"),0)+IF(M55="Π",COUNTIF(M56:O56,"W"),0)</f>
        <v>4</v>
      </c>
      <c r="W57" s="132" t="s">
        <v>68</v>
      </c>
      <c r="X57" s="130">
        <f>IF(D55="Δ",COUNTIF(D56:F56,"W"),0)+IF(G55="Δ",COUNTIF(G56:I56,"W"),0)+IF(J55="Δ",COUNTIF(J56:L56,"W"),0)+IF(M55="Δ",COUNTIF(M56:O56,"W"),0)</f>
        <v>3</v>
      </c>
      <c r="Y57" s="171"/>
      <c r="Z57" s="171" t="str">
        <f>IF(Teams&gt;15,"Show", "Hide")</f>
        <v>Show</v>
      </c>
      <c r="AA57" s="158"/>
      <c r="AB57" s="158"/>
      <c r="AC57" s="159"/>
      <c r="AD57" s="159"/>
      <c r="AE57" s="158"/>
      <c r="AF57" s="158"/>
      <c r="AG57" s="159"/>
      <c r="AH57" s="159"/>
      <c r="AI57" s="159"/>
      <c r="AJ57" s="159"/>
      <c r="AK57" s="159"/>
      <c r="AL57" s="159"/>
      <c r="AM57" s="159"/>
      <c r="AN57" s="159"/>
      <c r="AO57" s="159"/>
      <c r="AP57" s="159"/>
      <c r="AQ57" s="159"/>
    </row>
    <row r="58" spans="1:43" s="151" customFormat="1" ht="13.5" x14ac:dyDescent="0.25">
      <c r="A58" s="430">
        <f>'Tournament Info'!C31</f>
        <v>1616</v>
      </c>
      <c r="B58" s="431"/>
      <c r="C58" s="432"/>
      <c r="D58" s="163" t="str">
        <f>IF(COUNTIF('Ballot Entry'!$M$3:$M$37,$A58)=1,"Π",IF(COUNTIF('Ballot Entry'!$N$3:$N$37,$A58)=1,"Δ",""))</f>
        <v>Δ</v>
      </c>
      <c r="E58" s="164" t="s">
        <v>30</v>
      </c>
      <c r="F58" s="165">
        <f>IFERROR(IF(D58="Π",VLOOKUP($A58, Round1P,2,FALSE),VLOOKUP($A58,Round1D,2,FALSE)),"")</f>
        <v>1410</v>
      </c>
      <c r="G58" s="163" t="str">
        <f>IF(COUNTIF('Ballot Entry'!$M$109:$M$143,$A58)=1,"Π",IF(COUNTIF('Ballot Entry'!$N$109:$N$143,$A58)=1,"Δ",""))</f>
        <v>Π</v>
      </c>
      <c r="H58" s="164" t="s">
        <v>30</v>
      </c>
      <c r="I58" s="165">
        <f>IFERROR(IF(G58="Π",VLOOKUP($A58, Round2P,2,FALSE),VLOOKUP($A58,Round2D,2,FALSE)),"")</f>
        <v>1262</v>
      </c>
      <c r="J58" s="163" t="str">
        <f>IF(COUNTIF('Ballot Entry'!$M$215:$M$249,$A58)=1,"Π",IF(COUNTIF('Ballot Entry'!$N$215:$N$249,$A58)=1,"Δ",""))</f>
        <v>Π</v>
      </c>
      <c r="K58" s="164" t="s">
        <v>30</v>
      </c>
      <c r="L58" s="165">
        <f>IFERROR(IF(J58="Π",VLOOKUP($A58, Round3P,2,FALSE),VLOOKUP($A58,Round3D,2,FALSE)),"")</f>
        <v>1506</v>
      </c>
      <c r="M58" s="163" t="str">
        <f>IF(COUNTIF('Ballot Entry'!$M$321:$M$355,$A58)=1,"Π",IF(COUNTIF('Ballot Entry'!$N$321:$N$355,$A58)=1,"Δ",""))</f>
        <v>Δ</v>
      </c>
      <c r="N58" s="164" t="s">
        <v>30</v>
      </c>
      <c r="O58" s="165">
        <f>IFERROR(IF(M58="Π",VLOOKUP($A58, Round4P,2,FALSE),VLOOKUP($A58,Round4D,2,FALSE)),"")</f>
        <v>1029</v>
      </c>
      <c r="P58" s="166">
        <f>COUNTIF(D59:O59,"W")</f>
        <v>6</v>
      </c>
      <c r="Q58" s="167" t="s">
        <v>34</v>
      </c>
      <c r="R58" s="168">
        <f>COUNTIF(D59:O59,"L")</f>
        <v>1</v>
      </c>
      <c r="S58" s="169" t="s">
        <v>34</v>
      </c>
      <c r="T58" s="170">
        <f>COUNTIF(D59:O59,"T")</f>
        <v>1</v>
      </c>
      <c r="U58" s="124">
        <f>IFERROR(VLOOKUP('Tab Summary'!F58,TeamRecord,4,FALSE ),0)</f>
        <v>3.5</v>
      </c>
      <c r="V58" s="125">
        <f>IFERROR(VLOOKUP('Tab Summary'!I58,TeamRecord,4,FALSE ),0)</f>
        <v>3.5</v>
      </c>
      <c r="W58" s="126">
        <f>IFERROR(VLOOKUP('Tab Summary'!F58,TeamRecord,6,FALSE ),0)</f>
        <v>12</v>
      </c>
      <c r="X58" s="124">
        <f>IFERROR(VLOOKUP('Tab Summary'!I58,TeamRecord,6,FALSE ),0)</f>
        <v>17.5</v>
      </c>
      <c r="Y58" s="171">
        <f>IF(COUNTIF('Ballot Entry'!$X$3:$X$221,(P58+(T58/2)))=2,IF((P58+(T58/2))=U58,IF(COUNTIF(D59:F59,"W")&gt;COUNTIF(D59:F59,"L"),F58,0),0)+IF((P58+(T58/2))=V58,IF(COUNTIF(G59:I59,"W")&gt;COUNTIF(G59:I59,"L"),I58,0),0)+IF((P58+(T58/2))=U59,IF(COUNTIF(J59:L59,"W")&gt;COUNTIF(J59:L59,"L"),L58,0),0)+IF((P58+(T58/2))=V59,IF(COUNTIF(M59:O59,"W")&gt;COUNTIF(M59:O59,"L"),O58,0),0),0)</f>
        <v>0</v>
      </c>
      <c r="Z58" s="171" t="str">
        <f>IF(Teams&gt;16,"Show", "Hide")</f>
        <v>Show</v>
      </c>
      <c r="AA58" s="158"/>
      <c r="AB58" s="158"/>
      <c r="AC58" s="159"/>
      <c r="AD58" s="159"/>
      <c r="AE58" s="158"/>
      <c r="AF58" s="158"/>
      <c r="AG58" s="159"/>
      <c r="AH58" s="159"/>
      <c r="AI58" s="159"/>
      <c r="AJ58" s="159"/>
      <c r="AK58" s="159"/>
      <c r="AL58" s="159"/>
      <c r="AM58" s="159"/>
      <c r="AN58" s="159"/>
      <c r="AO58" s="159"/>
      <c r="AP58" s="159"/>
      <c r="AQ58" s="159"/>
    </row>
    <row r="59" spans="1:43" s="151" customFormat="1" ht="12.75" customHeight="1" x14ac:dyDescent="0.25">
      <c r="A59" s="433" t="str">
        <f>'Tournament Info'!B31</f>
        <v>Chicago</v>
      </c>
      <c r="B59" s="434"/>
      <c r="C59" s="435"/>
      <c r="D59" s="172" t="str">
        <f t="shared" ref="D59:O59" si="16">IF(D60="","",IF(D60&gt;0,"W",IF(D60&lt;0,"L",IF(D60=0,"T"))))</f>
        <v>W</v>
      </c>
      <c r="E59" s="173" t="str">
        <f t="shared" si="16"/>
        <v/>
      </c>
      <c r="F59" s="174" t="str">
        <f t="shared" si="16"/>
        <v>W</v>
      </c>
      <c r="G59" s="172" t="str">
        <f t="shared" si="16"/>
        <v>W</v>
      </c>
      <c r="H59" s="173" t="str">
        <f t="shared" si="16"/>
        <v/>
      </c>
      <c r="I59" s="174" t="str">
        <f t="shared" si="16"/>
        <v>T</v>
      </c>
      <c r="J59" s="172" t="str">
        <f t="shared" si="16"/>
        <v>L</v>
      </c>
      <c r="K59" s="173" t="str">
        <f t="shared" si="16"/>
        <v/>
      </c>
      <c r="L59" s="174" t="str">
        <f t="shared" si="16"/>
        <v>W</v>
      </c>
      <c r="M59" s="172" t="str">
        <f t="shared" si="16"/>
        <v>W</v>
      </c>
      <c r="N59" s="173" t="str">
        <f t="shared" si="16"/>
        <v/>
      </c>
      <c r="O59" s="174" t="str">
        <f t="shared" si="16"/>
        <v>W</v>
      </c>
      <c r="P59" s="175" t="s">
        <v>35</v>
      </c>
      <c r="Q59" s="176"/>
      <c r="R59" s="176" t="s">
        <v>36</v>
      </c>
      <c r="S59" s="176"/>
      <c r="T59" s="177" t="s">
        <v>31</v>
      </c>
      <c r="U59" s="127">
        <f>IFERROR(VLOOKUP('Tab Summary'!L58,TeamRecord,4,FALSE ),0)</f>
        <v>6</v>
      </c>
      <c r="V59" s="128">
        <f>IFERROR(VLOOKUP('Tab Summary'!O58,TeamRecord,4,FALSE ),0)</f>
        <v>4.5</v>
      </c>
      <c r="W59" s="129">
        <f>IFERROR(VLOOKUP('Tab Summary'!L58,TeamRecord,6,FALSE ),0)</f>
        <v>20</v>
      </c>
      <c r="X59" s="127">
        <f>IFERROR(VLOOKUP('Tab Summary'!O58,TeamRecord,6,FALSE ),0)</f>
        <v>16.5</v>
      </c>
      <c r="Y59" s="171">
        <f>IF(Y58&lt;&gt;0,(IF(COUNTIF('Ballot Entry'!$Z$3:$Z$35,'Tab Summary'!P60)=2,IF(P60=W58,IF(COUNTIF(D59:F59,"W")&gt;COUNTIF(D59:F59,"L"),1,0),0)+IF(P60=X58,IF(COUNTIF(G59:I59,"W")&gt;COUNTIF(G59:I59,"L"),1,0),0)+IF(P60=W59,IF(COUNTIF(J59:L59,"W")&gt;COUNTIF(J59:L59,"L"),1,0),0)+IF(P60=X59,IF(COUNTIF(M59:O59,"W")&gt;COUNTIF(M59:O59,"L"),1,0),0),0)),0)</f>
        <v>0</v>
      </c>
      <c r="Z59" s="171" t="str">
        <f>IF(Teams&gt;16,"Show", "Hide")</f>
        <v>Show</v>
      </c>
      <c r="AA59" s="158"/>
      <c r="AB59" s="158"/>
      <c r="AC59" s="159"/>
      <c r="AD59" s="159"/>
      <c r="AE59" s="158"/>
      <c r="AF59" s="158"/>
      <c r="AG59" s="159"/>
      <c r="AH59" s="159"/>
      <c r="AI59" s="159"/>
      <c r="AJ59" s="159"/>
      <c r="AK59" s="159"/>
      <c r="AL59" s="159"/>
      <c r="AM59" s="159"/>
      <c r="AN59" s="159"/>
      <c r="AO59" s="159"/>
      <c r="AP59" s="159"/>
      <c r="AQ59" s="159"/>
    </row>
    <row r="60" spans="1:43" s="151" customFormat="1" ht="13.5" customHeight="1" thickBot="1" x14ac:dyDescent="0.3">
      <c r="A60" s="436"/>
      <c r="B60" s="437"/>
      <c r="C60" s="438"/>
      <c r="D60" s="178">
        <f>IFERROR(IF(D58="Π",VLOOKUP($A58, Round1P,3,FALSE),VLOOKUP($A58,Round1D,3,FALSE)),"")</f>
        <v>3</v>
      </c>
      <c r="E60" s="179" t="str">
        <f>IFERROR(IF(Ballots=3,IF(D58="Π",VLOOKUP($A58, Round1P,5,FALSE),VLOOKUP($A58,Round1D,5,FALSE)),""),"")</f>
        <v/>
      </c>
      <c r="F60" s="180">
        <f>IFERROR(IF(D58="Π",VLOOKUP($A58, Round1P,4,FALSE),VLOOKUP($A58,Round1D,4,FALSE)),"")</f>
        <v>4</v>
      </c>
      <c r="G60" s="178">
        <f>IFERROR(IF(G58="Π",VLOOKUP($A58, Round2P,3,FALSE),VLOOKUP($A58,Round2D,3,FALSE)),"")</f>
        <v>1</v>
      </c>
      <c r="H60" s="179" t="str">
        <f>IFERROR(IF(Ballots=3,IF(G58="Π",VLOOKUP($A58, Round2P,5,FALSE),VLOOKUP($A58,Round2D,5,FALSE)),""),"")</f>
        <v/>
      </c>
      <c r="I60" s="180">
        <f>IFERROR(IF(G58="Π",VLOOKUP($A58, Round2P,4,FALSE),VLOOKUP($A58,Round2D,4,FALSE)),"")</f>
        <v>0</v>
      </c>
      <c r="J60" s="178">
        <f>IFERROR(IF(J58="Π",VLOOKUP($A58, Round3P,3,FALSE),VLOOKUP($A58,Round3D,3,FALSE)),"")</f>
        <v>-10</v>
      </c>
      <c r="K60" s="179" t="str">
        <f>IFERROR(IF(Ballots=3,IF(J58="Π",VLOOKUP($A58, Round3P,5,FALSE),VLOOKUP($A58,Round3D,5,FALSE)),""),"")</f>
        <v/>
      </c>
      <c r="L60" s="180">
        <f>IFERROR(IF(J58="Π",VLOOKUP($A58, Round3P,4,FALSE),VLOOKUP($A58,Round3D,4,FALSE)),"")</f>
        <v>11</v>
      </c>
      <c r="M60" s="178">
        <f>IFERROR(IF(M58="Π",VLOOKUP($A58, Round4P,3,FALSE),VLOOKUP($A58,Round4D,3,FALSE)),"")</f>
        <v>6</v>
      </c>
      <c r="N60" s="179" t="str">
        <f>IFERROR(IF(Ballots=3,IF(M58="Π",VLOOKUP($A58, Round4P,5,FALSE),VLOOKUP($A58,Round4D,5,FALSE)),""),"")</f>
        <v/>
      </c>
      <c r="O60" s="180">
        <f>IFERROR(IF(M58="Π",VLOOKUP($A58, Round4P,4,FALSE),VLOOKUP($A58,Round4D,4,FALSE)),"")</f>
        <v>3</v>
      </c>
      <c r="P60" s="181">
        <f>'Tab Summary'!U58+'Tab Summary'!V58+'Tab Summary'!U59+'Tab Summary'!V59</f>
        <v>17.5</v>
      </c>
      <c r="Q60" s="182"/>
      <c r="R60" s="183">
        <f>SUM('Tab Summary'!W58:X59)</f>
        <v>66</v>
      </c>
      <c r="S60" s="184"/>
      <c r="T60" s="185">
        <f>SUM(D60:O60)</f>
        <v>18</v>
      </c>
      <c r="U60" s="130" t="s">
        <v>67</v>
      </c>
      <c r="V60" s="131">
        <f>IF(D58="Π",COUNTIF(D59:F59,"W"),0)+IF(G58="Π",COUNTIF(G59:I59,"W"),0)+IF(J58="Π",COUNTIF(J59:L59,"W"),0)+IF(M58="Π",COUNTIF(M59:O59,"W"),0)</f>
        <v>2</v>
      </c>
      <c r="W60" s="132" t="s">
        <v>68</v>
      </c>
      <c r="X60" s="130">
        <f>IF(D58="Δ",COUNTIF(D59:F59,"W"),0)+IF(G58="Δ",COUNTIF(G59:I59,"W"),0)+IF(J58="Δ",COUNTIF(J59:L59,"W"),0)+IF(M58="Δ",COUNTIF(M59:O59,"W"),0)</f>
        <v>4</v>
      </c>
      <c r="Y60" s="171"/>
      <c r="Z60" s="171" t="str">
        <f>IF(Teams&gt;16,"Show", "Hide")</f>
        <v>Show</v>
      </c>
      <c r="AA60" s="158"/>
      <c r="AB60" s="158"/>
      <c r="AC60" s="159"/>
      <c r="AD60" s="159"/>
      <c r="AE60" s="158"/>
      <c r="AF60" s="158"/>
      <c r="AG60" s="159"/>
      <c r="AH60" s="159"/>
      <c r="AI60" s="159"/>
      <c r="AJ60" s="159"/>
      <c r="AK60" s="159"/>
      <c r="AL60" s="159"/>
      <c r="AM60" s="159"/>
      <c r="AN60" s="159"/>
      <c r="AO60" s="159"/>
      <c r="AP60" s="159"/>
      <c r="AQ60" s="159"/>
    </row>
    <row r="61" spans="1:43" s="151" customFormat="1" ht="13.5" x14ac:dyDescent="0.25">
      <c r="A61" s="439">
        <f>'Tournament Info'!C32</f>
        <v>1693</v>
      </c>
      <c r="B61" s="440"/>
      <c r="C61" s="441"/>
      <c r="D61" s="186" t="str">
        <f>IF(COUNTIF('Ballot Entry'!$M$3:$M$37,$A61)=1,"Π",IF(COUNTIF('Ballot Entry'!$N$3:$N$37,$A61)=1,"Δ",""))</f>
        <v>Δ</v>
      </c>
      <c r="E61" s="187" t="s">
        <v>30</v>
      </c>
      <c r="F61" s="188">
        <f>IFERROR(IF(D61="Π",VLOOKUP($A61, Round1P,2,FALSE),VLOOKUP($A61,Round1D,2,FALSE)),"")</f>
        <v>1262</v>
      </c>
      <c r="G61" s="186" t="str">
        <f>IF(COUNTIF('Ballot Entry'!$M$109:$M$143,$A61)=1,"Π",IF(COUNTIF('Ballot Entry'!$N$109:$N$143,$A61)=1,"Δ",""))</f>
        <v>Π</v>
      </c>
      <c r="H61" s="187" t="s">
        <v>30</v>
      </c>
      <c r="I61" s="188">
        <f>IFERROR(IF(G61="Π",VLOOKUP($A61, Round2P,2,FALSE),VLOOKUP($A61,Round2D,2,FALSE)),"")</f>
        <v>1410</v>
      </c>
      <c r="J61" s="186" t="str">
        <f>IF(COUNTIF('Ballot Entry'!$M$215:$M$249,$A61)=1,"Π",IF(COUNTIF('Ballot Entry'!$N$215:$N$249,$A61)=1,"Δ",""))</f>
        <v>Π</v>
      </c>
      <c r="K61" s="187" t="s">
        <v>30</v>
      </c>
      <c r="L61" s="188">
        <f>IFERROR(IF(J61="Π",VLOOKUP($A61, Round3P,2,FALSE),VLOOKUP($A61,Round3D,2,FALSE)),"")</f>
        <v>1492</v>
      </c>
      <c r="M61" s="186" t="str">
        <f>IF(COUNTIF('Ballot Entry'!$M$321:$M$355,$A61)=1,"Π",IF(COUNTIF('Ballot Entry'!$N$321:$N$355,$A61)=1,"Δ",""))</f>
        <v>Δ</v>
      </c>
      <c r="N61" s="187" t="s">
        <v>30</v>
      </c>
      <c r="O61" s="188">
        <f>IFERROR(IF(M61="Π",VLOOKUP($A61, Round4P,2,FALSE),VLOOKUP($A61,Round4D,2,FALSE)),"")</f>
        <v>1224</v>
      </c>
      <c r="P61" s="189">
        <f>COUNTIF(D62:O62,"W")</f>
        <v>2</v>
      </c>
      <c r="Q61" s="190" t="s">
        <v>34</v>
      </c>
      <c r="R61" s="191">
        <f>COUNTIF(D62:O62,"L")</f>
        <v>6</v>
      </c>
      <c r="S61" s="192" t="s">
        <v>34</v>
      </c>
      <c r="T61" s="193">
        <f>COUNTIF(D62:O62,"T")</f>
        <v>0</v>
      </c>
      <c r="U61" s="124">
        <f>IFERROR(VLOOKUP('Tab Summary'!F61,TeamRecord,4,FALSE ),0)</f>
        <v>3.5</v>
      </c>
      <c r="V61" s="125">
        <f>IFERROR(VLOOKUP('Tab Summary'!I61,TeamRecord,4,FALSE ),0)</f>
        <v>3.5</v>
      </c>
      <c r="W61" s="126">
        <f>IFERROR(VLOOKUP('Tab Summary'!F61,TeamRecord,6,FALSE ),0)</f>
        <v>17.5</v>
      </c>
      <c r="X61" s="124">
        <f>IFERROR(VLOOKUP('Tab Summary'!I61,TeamRecord,6,FALSE ),0)</f>
        <v>12</v>
      </c>
      <c r="Y61" s="171">
        <f>IF(COUNTIF('Ballot Entry'!$X$3:$X$221,(P61+(T61/2)))=2,IF((P61+(T61/2))=U61,IF(COUNTIF(D62:F62,"W")&gt;COUNTIF(D62:F62,"L"),F61,0),0)+IF((P61+(T61/2))=V61,IF(COUNTIF(G62:I62,"W")&gt;COUNTIF(G62:I62,"L"),I61,0),0)+IF((P61+(T61/2))=U62,IF(COUNTIF(J62:L62,"W")&gt;COUNTIF(J62:L62,"L"),L61,0),0)+IF((P61+(T61/2))=V62,IF(COUNTIF(M62:O62,"W")&gt;COUNTIF(M62:O62,"L"),O61,0),0),0)</f>
        <v>0</v>
      </c>
      <c r="Z61" s="171" t="str">
        <f>IF(Teams&gt;17,"Show", "Hide")</f>
        <v>Show</v>
      </c>
      <c r="AA61" s="158"/>
      <c r="AB61" s="158"/>
      <c r="AC61" s="159"/>
      <c r="AD61" s="159"/>
      <c r="AE61" s="158"/>
      <c r="AF61" s="158"/>
      <c r="AG61" s="159"/>
      <c r="AH61" s="159"/>
      <c r="AI61" s="159"/>
      <c r="AJ61" s="159"/>
      <c r="AK61" s="159"/>
      <c r="AL61" s="159"/>
      <c r="AM61" s="159"/>
      <c r="AN61" s="159"/>
      <c r="AO61" s="159"/>
      <c r="AP61" s="159"/>
      <c r="AQ61" s="159"/>
    </row>
    <row r="62" spans="1:43" s="151" customFormat="1" ht="12.75" customHeight="1" x14ac:dyDescent="0.25">
      <c r="A62" s="424" t="str">
        <f>'Tournament Info'!B32</f>
        <v>Northwestern</v>
      </c>
      <c r="B62" s="425"/>
      <c r="C62" s="426"/>
      <c r="D62" s="194" t="str">
        <f t="shared" ref="D62:O62" si="17">IF(D63="","",IF(D63&gt;0,"W",IF(D63&lt;0,"L",IF(D63=0,"T"))))</f>
        <v>L</v>
      </c>
      <c r="E62" s="195" t="str">
        <f t="shared" si="17"/>
        <v/>
      </c>
      <c r="F62" s="196" t="str">
        <f t="shared" si="17"/>
        <v>L</v>
      </c>
      <c r="G62" s="194" t="str">
        <f t="shared" si="17"/>
        <v>W</v>
      </c>
      <c r="H62" s="195" t="str">
        <f t="shared" si="17"/>
        <v/>
      </c>
      <c r="I62" s="196" t="str">
        <f t="shared" si="17"/>
        <v>W</v>
      </c>
      <c r="J62" s="194" t="str">
        <f t="shared" si="17"/>
        <v>L</v>
      </c>
      <c r="K62" s="195" t="str">
        <f t="shared" si="17"/>
        <v/>
      </c>
      <c r="L62" s="196" t="str">
        <f t="shared" si="17"/>
        <v>L</v>
      </c>
      <c r="M62" s="194" t="str">
        <f t="shared" si="17"/>
        <v>L</v>
      </c>
      <c r="N62" s="195" t="str">
        <f t="shared" si="17"/>
        <v/>
      </c>
      <c r="O62" s="196" t="str">
        <f t="shared" si="17"/>
        <v>L</v>
      </c>
      <c r="P62" s="197" t="s">
        <v>35</v>
      </c>
      <c r="Q62" s="198"/>
      <c r="R62" s="198" t="s">
        <v>36</v>
      </c>
      <c r="S62" s="198"/>
      <c r="T62" s="199" t="s">
        <v>31</v>
      </c>
      <c r="U62" s="127">
        <f>IFERROR(VLOOKUP('Tab Summary'!L61,TeamRecord,4,FALSE ),0)</f>
        <v>4</v>
      </c>
      <c r="V62" s="128">
        <f>IFERROR(VLOOKUP('Tab Summary'!O61,TeamRecord,4,FALSE ),0)</f>
        <v>5</v>
      </c>
      <c r="W62" s="129">
        <f>IFERROR(VLOOKUP('Tab Summary'!L61,TeamRecord,6,FALSE ),0)</f>
        <v>16.5</v>
      </c>
      <c r="X62" s="127">
        <f>IFERROR(VLOOKUP('Tab Summary'!O61,TeamRecord,6,FALSE ),0)</f>
        <v>14</v>
      </c>
      <c r="Y62" s="171">
        <f>IF(Y61&lt;&gt;0,(IF(COUNTIF('Ballot Entry'!$Z$3:$Z$35,'Tab Summary'!P63)=2,IF(P63=W61,IF(COUNTIF(D62:F62,"W")&gt;COUNTIF(D62:F62,"L"),1,0),0)+IF(P63=X61,IF(COUNTIF(G62:I62,"W")&gt;COUNTIF(G62:I62,"L"),1,0),0)+IF(P63=W62,IF(COUNTIF(J62:L62,"W")&gt;COUNTIF(J62:L62,"L"),1,0),0)+IF(P63=X62,IF(COUNTIF(M62:O62,"W")&gt;COUNTIF(M62:O62,"L"),1,0),0),0)),0)</f>
        <v>0</v>
      </c>
      <c r="Z62" s="171" t="str">
        <f>IF(Teams&gt;17,"Show", "Hide")</f>
        <v>Show</v>
      </c>
      <c r="AA62" s="158"/>
      <c r="AB62" s="158"/>
      <c r="AC62" s="159"/>
      <c r="AD62" s="159"/>
      <c r="AE62" s="158"/>
      <c r="AF62" s="158"/>
      <c r="AG62" s="159"/>
      <c r="AH62" s="159"/>
      <c r="AI62" s="159"/>
      <c r="AJ62" s="159"/>
      <c r="AK62" s="159"/>
      <c r="AL62" s="159"/>
      <c r="AM62" s="159"/>
      <c r="AN62" s="159"/>
      <c r="AO62" s="159"/>
      <c r="AP62" s="159"/>
      <c r="AQ62" s="159"/>
    </row>
    <row r="63" spans="1:43" s="151" customFormat="1" ht="13.5" customHeight="1" thickBot="1" x14ac:dyDescent="0.3">
      <c r="A63" s="427"/>
      <c r="B63" s="428"/>
      <c r="C63" s="429"/>
      <c r="D63" s="200">
        <f>IFERROR(IF(D61="Π",VLOOKUP($A61, Round1P,3,FALSE),VLOOKUP($A61,Round1D,3,FALSE)),"")</f>
        <v>-2</v>
      </c>
      <c r="E63" s="201" t="str">
        <f>IFERROR(IF(Ballots=3,IF(D61="Π",VLOOKUP($A61, Round1P,5,FALSE),VLOOKUP($A61,Round1D,5,FALSE)),""),"")</f>
        <v/>
      </c>
      <c r="F63" s="202">
        <f>IFERROR(IF(D61="Π",VLOOKUP($A61, Round1P,4,FALSE),VLOOKUP($A61,Round1D,4,FALSE)),"")</f>
        <v>-13</v>
      </c>
      <c r="G63" s="200">
        <f>IFERROR(IF(G61="Π",VLOOKUP($A61, Round2P,3,FALSE),VLOOKUP($A61,Round2D,3,FALSE)),"")</f>
        <v>1</v>
      </c>
      <c r="H63" s="201" t="str">
        <f>IFERROR(IF(Ballots=3,IF(G61="Π",VLOOKUP($A61, Round2P,5,FALSE),VLOOKUP($A61,Round2D,5,FALSE)),""),"")</f>
        <v/>
      </c>
      <c r="I63" s="202">
        <f>IFERROR(IF(G61="Π",VLOOKUP($A61, Round2P,4,FALSE),VLOOKUP($A61,Round2D,4,FALSE)),"")</f>
        <v>8</v>
      </c>
      <c r="J63" s="200">
        <f>IFERROR(IF(J61="Π",VLOOKUP($A61, Round3P,3,FALSE),VLOOKUP($A61,Round3D,3,FALSE)),"")</f>
        <v>-3</v>
      </c>
      <c r="K63" s="201" t="str">
        <f>IFERROR(IF(Ballots=3,IF(J61="Π",VLOOKUP($A61, Round3P,5,FALSE),VLOOKUP($A61,Round3D,5,FALSE)),""),"")</f>
        <v/>
      </c>
      <c r="L63" s="202">
        <f>IFERROR(IF(J61="Π",VLOOKUP($A61, Round3P,4,FALSE),VLOOKUP($A61,Round3D,4,FALSE)),"")</f>
        <v>-9</v>
      </c>
      <c r="M63" s="200">
        <f>IFERROR(IF(M61="Π",VLOOKUP($A61, Round4P,3,FALSE),VLOOKUP($A61,Round4D,3,FALSE)),"")</f>
        <v>-1</v>
      </c>
      <c r="N63" s="201" t="str">
        <f>IFERROR(IF(Ballots=3,IF(M61="Π",VLOOKUP($A61, Round4P,5,FALSE),VLOOKUP($A61,Round4D,5,FALSE)),""),"")</f>
        <v/>
      </c>
      <c r="O63" s="202">
        <f>IFERROR(IF(M61="Π",VLOOKUP($A61, Round4P,4,FALSE),VLOOKUP($A61,Round4D,4,FALSE)),"")</f>
        <v>-6</v>
      </c>
      <c r="P63" s="203">
        <f>'Tab Summary'!U61+'Tab Summary'!V61+'Tab Summary'!U62+'Tab Summary'!V62</f>
        <v>16</v>
      </c>
      <c r="Q63" s="204"/>
      <c r="R63" s="205">
        <f>SUM('Tab Summary'!W61:X62)</f>
        <v>60</v>
      </c>
      <c r="S63" s="206"/>
      <c r="T63" s="207">
        <f>SUM(D63:O63)</f>
        <v>-25</v>
      </c>
      <c r="U63" s="130" t="s">
        <v>67</v>
      </c>
      <c r="V63" s="131">
        <f>IF(D61="Π",COUNTIF(D62:F62,"W"),0)+IF(G61="Π",COUNTIF(G62:I62,"W"),0)+IF(J61="Π",COUNTIF(J62:L62,"W"),0)+IF(M61="Π",COUNTIF(M62:O62,"W"),0)</f>
        <v>2</v>
      </c>
      <c r="W63" s="132" t="s">
        <v>68</v>
      </c>
      <c r="X63" s="130">
        <f>IF(D61="Δ",COUNTIF(D62:F62,"W"),0)+IF(G61="Δ",COUNTIF(G62:I62,"W"),0)+IF(J61="Δ",COUNTIF(J62:L62,"W"),0)+IF(M61="Δ",COUNTIF(M62:O62,"W"),0)</f>
        <v>0</v>
      </c>
      <c r="Y63" s="171"/>
      <c r="Z63" s="171" t="str">
        <f>IF(Teams&gt;17,"Show", "Hide")</f>
        <v>Show</v>
      </c>
      <c r="AA63" s="158"/>
      <c r="AB63" s="158"/>
      <c r="AC63" s="159"/>
      <c r="AD63" s="159"/>
      <c r="AE63" s="158"/>
      <c r="AF63" s="158"/>
      <c r="AG63" s="159"/>
      <c r="AH63" s="159"/>
      <c r="AI63" s="159"/>
      <c r="AJ63" s="159"/>
      <c r="AK63" s="159"/>
      <c r="AL63" s="159"/>
      <c r="AM63" s="159"/>
      <c r="AN63" s="159"/>
      <c r="AO63" s="159"/>
      <c r="AP63" s="159"/>
      <c r="AQ63" s="159"/>
    </row>
    <row r="64" spans="1:43" s="151" customFormat="1" ht="13.5" hidden="1" x14ac:dyDescent="0.25">
      <c r="A64" s="430">
        <f>'Tournament Info'!C33</f>
        <v>0</v>
      </c>
      <c r="B64" s="431"/>
      <c r="C64" s="432"/>
      <c r="D64" s="163" t="str">
        <f>IF(COUNTIF('Ballot Entry'!$M$3:$M$37,$A64)=1,"Π",IF(COUNTIF('Ballot Entry'!$N$3:$N$37,$A64)=1,"Δ",""))</f>
        <v/>
      </c>
      <c r="E64" s="164" t="s">
        <v>30</v>
      </c>
      <c r="F64" s="165" t="str">
        <f>IFERROR(IF(D64="Π",VLOOKUP($A64, Round1P,2,FALSE),VLOOKUP($A64,Round1D,2,FALSE)),"")</f>
        <v/>
      </c>
      <c r="G64" s="163" t="str">
        <f>IF(COUNTIF('Ballot Entry'!$M$109:$M$143,$A64)=1,"Π",IF(COUNTIF('Ballot Entry'!$N$109:$N$143,$A64)=1,"Δ",""))</f>
        <v/>
      </c>
      <c r="H64" s="164" t="s">
        <v>30</v>
      </c>
      <c r="I64" s="165" t="str">
        <f>IFERROR(IF(G64="Π",VLOOKUP($A64, Round2P,2,FALSE),VLOOKUP($A64,Round2D,2,FALSE)),"")</f>
        <v/>
      </c>
      <c r="J64" s="163" t="str">
        <f>IF(COUNTIF('Ballot Entry'!$M$215:$M$249,$A64)=1,"Π",IF(COUNTIF('Ballot Entry'!$N$215:$N$249,$A64)=1,"Δ",""))</f>
        <v/>
      </c>
      <c r="K64" s="164" t="s">
        <v>30</v>
      </c>
      <c r="L64" s="165" t="str">
        <f>IFERROR(IF(J64="Π",VLOOKUP($A64, Round3P,2,FALSE),VLOOKUP($A64,Round3D,2,FALSE)),"")</f>
        <v/>
      </c>
      <c r="M64" s="163" t="str">
        <f>IF(COUNTIF('Ballot Entry'!$M$321:$M$355,$A64)=1,"Π",IF(COUNTIF('Ballot Entry'!$N$321:$N$355,$A64)=1,"Δ",""))</f>
        <v/>
      </c>
      <c r="N64" s="164" t="s">
        <v>30</v>
      </c>
      <c r="O64" s="165" t="str">
        <f>IFERROR(IF(M64="Π",VLOOKUP($A64, Round4P,2,FALSE),VLOOKUP($A64,Round4D,2,FALSE)),"")</f>
        <v/>
      </c>
      <c r="P64" s="166">
        <f>COUNTIF(D65:O65,"W")</f>
        <v>0</v>
      </c>
      <c r="Q64" s="167" t="s">
        <v>34</v>
      </c>
      <c r="R64" s="168">
        <f>COUNTIF(D65:O65,"L")</f>
        <v>0</v>
      </c>
      <c r="S64" s="169" t="s">
        <v>34</v>
      </c>
      <c r="T64" s="170">
        <f>COUNTIF(D65:O65,"T")</f>
        <v>0</v>
      </c>
      <c r="U64" s="124">
        <f>IFERROR(VLOOKUP('Tab Summary'!F64,TeamRecord,4,FALSE ),0)</f>
        <v>0</v>
      </c>
      <c r="V64" s="125">
        <f>IFERROR(VLOOKUP('Tab Summary'!I64,TeamRecord,4,FALSE ),0)</f>
        <v>0</v>
      </c>
      <c r="W64" s="126">
        <f>IFERROR(VLOOKUP('Tab Summary'!F64,TeamRecord,6,FALSE ),0)</f>
        <v>0</v>
      </c>
      <c r="X64" s="124">
        <f>IFERROR(VLOOKUP('Tab Summary'!I64,TeamRecord,6,FALSE ),0)</f>
        <v>0</v>
      </c>
      <c r="Y64" s="171">
        <f>IF(COUNTIF('Ballot Entry'!$X$3:$X$221,(P64+(T64/2)))=2,IF((P64+(T64/2))=U64,IF(COUNTIF(D65:F65,"W")&gt;COUNTIF(D65:F65,"L"),F64,0),0)+IF((P64+(T64/2))=V64,IF(COUNTIF(G65:I65,"W")&gt;COUNTIF(G65:I65,"L"),I64,0),0)+IF((P64+(T64/2))=U65,IF(COUNTIF(J65:L65,"W")&gt;COUNTIF(J65:L65,"L"),L64,0),0)+IF((P64+(T64/2))=V65,IF(COUNTIF(M65:O65,"W")&gt;COUNTIF(M65:O65,"L"),O64,0),0),0)</f>
        <v>0</v>
      </c>
      <c r="Z64" s="171" t="str">
        <f>IF(Teams&gt;18,"Show", "Hide")</f>
        <v>Hide</v>
      </c>
      <c r="AA64" s="158"/>
      <c r="AB64" s="158"/>
      <c r="AC64" s="159"/>
      <c r="AD64" s="159"/>
      <c r="AE64" s="158"/>
      <c r="AF64" s="158"/>
      <c r="AG64" s="159"/>
      <c r="AH64" s="159"/>
      <c r="AI64" s="159"/>
      <c r="AJ64" s="159"/>
      <c r="AK64" s="159"/>
      <c r="AL64" s="159"/>
      <c r="AM64" s="159"/>
      <c r="AN64" s="159"/>
      <c r="AO64" s="159"/>
      <c r="AP64" s="159"/>
      <c r="AQ64" s="159"/>
    </row>
    <row r="65" spans="1:43" s="151" customFormat="1" ht="12.75" hidden="1" customHeight="1" x14ac:dyDescent="0.25">
      <c r="A65" s="433">
        <f>'Tournament Info'!B33</f>
        <v>0</v>
      </c>
      <c r="B65" s="434"/>
      <c r="C65" s="435"/>
      <c r="D65" s="172" t="str">
        <f t="shared" ref="D65:O65" si="18">IF(D66="","",IF(D66&gt;0,"W",IF(D66&lt;0,"L",IF(D66=0,"T"))))</f>
        <v/>
      </c>
      <c r="E65" s="173" t="str">
        <f t="shared" si="18"/>
        <v/>
      </c>
      <c r="F65" s="174" t="str">
        <f t="shared" si="18"/>
        <v/>
      </c>
      <c r="G65" s="172" t="str">
        <f t="shared" si="18"/>
        <v/>
      </c>
      <c r="H65" s="173" t="str">
        <f t="shared" si="18"/>
        <v/>
      </c>
      <c r="I65" s="174" t="str">
        <f t="shared" si="18"/>
        <v/>
      </c>
      <c r="J65" s="172" t="str">
        <f t="shared" si="18"/>
        <v/>
      </c>
      <c r="K65" s="173" t="str">
        <f t="shared" si="18"/>
        <v/>
      </c>
      <c r="L65" s="174" t="str">
        <f t="shared" si="18"/>
        <v/>
      </c>
      <c r="M65" s="172" t="str">
        <f t="shared" si="18"/>
        <v/>
      </c>
      <c r="N65" s="173" t="str">
        <f t="shared" si="18"/>
        <v/>
      </c>
      <c r="O65" s="174" t="str">
        <f t="shared" si="18"/>
        <v/>
      </c>
      <c r="P65" s="175" t="s">
        <v>35</v>
      </c>
      <c r="Q65" s="176"/>
      <c r="R65" s="176" t="s">
        <v>36</v>
      </c>
      <c r="S65" s="176"/>
      <c r="T65" s="177" t="s">
        <v>31</v>
      </c>
      <c r="U65" s="127">
        <f>IFERROR(VLOOKUP('Tab Summary'!L64,TeamRecord,4,FALSE ),0)</f>
        <v>0</v>
      </c>
      <c r="V65" s="128">
        <f>IFERROR(VLOOKUP('Tab Summary'!O64,TeamRecord,4,FALSE ),0)</f>
        <v>0</v>
      </c>
      <c r="W65" s="129">
        <f>IFERROR(VLOOKUP('Tab Summary'!L64,TeamRecord,6,FALSE ),0)</f>
        <v>0</v>
      </c>
      <c r="X65" s="127">
        <f>IFERROR(VLOOKUP('Tab Summary'!O64,TeamRecord,6,FALSE ),0)</f>
        <v>0</v>
      </c>
      <c r="Y65" s="171">
        <f>IF(Y64&lt;&gt;0,(IF(COUNTIF('Ballot Entry'!$Z$3:$Z$35,'Tab Summary'!P66)=2,IF(P66=W64,IF(COUNTIF(D65:F65,"W")&gt;COUNTIF(D65:F65,"L"),1,0),0)+IF(P66=X64,IF(COUNTIF(G65:I65,"W")&gt;COUNTIF(G65:I65,"L"),1,0),0)+IF(P66=W65,IF(COUNTIF(J65:L65,"W")&gt;COUNTIF(J65:L65,"L"),1,0),0)+IF(P66=X65,IF(COUNTIF(M65:O65,"W")&gt;COUNTIF(M65:O65,"L"),1,0),0),0)),0)</f>
        <v>0</v>
      </c>
      <c r="Z65" s="171" t="str">
        <f>IF(Teams&gt;18,"Show", "Hide")</f>
        <v>Hide</v>
      </c>
      <c r="AA65" s="158"/>
      <c r="AB65" s="158"/>
      <c r="AC65" s="159"/>
      <c r="AD65" s="159"/>
      <c r="AE65" s="158"/>
      <c r="AF65" s="158"/>
      <c r="AG65" s="159"/>
      <c r="AH65" s="159"/>
      <c r="AI65" s="159"/>
      <c r="AJ65" s="159"/>
      <c r="AK65" s="159"/>
      <c r="AL65" s="159"/>
      <c r="AM65" s="159"/>
      <c r="AN65" s="159"/>
      <c r="AO65" s="159"/>
      <c r="AP65" s="159"/>
      <c r="AQ65" s="159"/>
    </row>
    <row r="66" spans="1:43" s="151" customFormat="1" ht="13.5" hidden="1" customHeight="1" thickBot="1" x14ac:dyDescent="0.3">
      <c r="A66" s="436"/>
      <c r="B66" s="437"/>
      <c r="C66" s="438"/>
      <c r="D66" s="178" t="str">
        <f>IFERROR(IF(D64="Π",VLOOKUP($A64, Round1P,3,FALSE),VLOOKUP($A64,Round1D,3,FALSE)),"")</f>
        <v/>
      </c>
      <c r="E66" s="179" t="str">
        <f>IFERROR(IF(Ballots=3,IF(D64="Π",VLOOKUP($A64, Round1P,5,FALSE),VLOOKUP($A64,Round1D,5,FALSE)),""),"")</f>
        <v/>
      </c>
      <c r="F66" s="180" t="str">
        <f>IFERROR(IF(D64="Π",VLOOKUP($A64, Round1P,4,FALSE),VLOOKUP($A64,Round1D,4,FALSE)),"")</f>
        <v/>
      </c>
      <c r="G66" s="178" t="str">
        <f>IFERROR(IF(G64="Π",VLOOKUP($A64, Round2P,3,FALSE),VLOOKUP($A64,Round2D,3,FALSE)),"")</f>
        <v/>
      </c>
      <c r="H66" s="179" t="str">
        <f>IFERROR(IF(Ballots=3,IF(G64="Π",VLOOKUP($A64, Round2P,5,FALSE),VLOOKUP($A64,Round2D,5,FALSE)),""),"")</f>
        <v/>
      </c>
      <c r="I66" s="180" t="str">
        <f>IFERROR(IF(G64="Π",VLOOKUP($A64, Round2P,4,FALSE),VLOOKUP($A64,Round2D,4,FALSE)),"")</f>
        <v/>
      </c>
      <c r="J66" s="178" t="str">
        <f>IFERROR(IF(J64="Π",VLOOKUP($A64, Round3P,3,FALSE),VLOOKUP($A64,Round3D,3,FALSE)),"")</f>
        <v/>
      </c>
      <c r="K66" s="179" t="str">
        <f>IFERROR(IF(Ballots=3,IF(J64="Π",VLOOKUP($A64, Round3P,5,FALSE),VLOOKUP($A64,Round3D,5,FALSE)),""),"")</f>
        <v/>
      </c>
      <c r="L66" s="180" t="str">
        <f>IFERROR(IF(J64="Π",VLOOKUP($A64, Round3P,4,FALSE),VLOOKUP($A64,Round3D,4,FALSE)),"")</f>
        <v/>
      </c>
      <c r="M66" s="178" t="str">
        <f>IFERROR(IF(M64="Π",VLOOKUP($A64, Round4P,3,FALSE),VLOOKUP($A64,Round4D,3,FALSE)),"")</f>
        <v/>
      </c>
      <c r="N66" s="179" t="str">
        <f>IFERROR(IF(Ballots=3,IF(M64="Π",VLOOKUP($A64, Round4P,5,FALSE),VLOOKUP($A64,Round4D,5,FALSE)),""),"")</f>
        <v/>
      </c>
      <c r="O66" s="180" t="str">
        <f>IFERROR(IF(M64="Π",VLOOKUP($A64, Round4P,4,FALSE),VLOOKUP($A64,Round4D,4,FALSE)),"")</f>
        <v/>
      </c>
      <c r="P66" s="181">
        <f>'Tab Summary'!U64+'Tab Summary'!V64+'Tab Summary'!U65+'Tab Summary'!V65</f>
        <v>0</v>
      </c>
      <c r="Q66" s="182"/>
      <c r="R66" s="183">
        <f>SUM('Tab Summary'!W64:X65)</f>
        <v>0</v>
      </c>
      <c r="S66" s="184"/>
      <c r="T66" s="185">
        <f>SUM(D66:O66)</f>
        <v>0</v>
      </c>
      <c r="U66" s="130" t="s">
        <v>67</v>
      </c>
      <c r="V66" s="131">
        <f>IF(D64="Π",COUNTIF(D65:F65,"W"),0)+IF(G64="Π",COUNTIF(G65:I65,"W"),0)+IF(J64="Π",COUNTIF(J65:L65,"W"),0)+IF(M64="Π",COUNTIF(M65:O65,"W"),0)</f>
        <v>0</v>
      </c>
      <c r="W66" s="132" t="s">
        <v>68</v>
      </c>
      <c r="X66" s="130">
        <f>IF(D64="Δ",COUNTIF(D65:F65,"W"),0)+IF(G64="Δ",COUNTIF(G65:I65,"W"),0)+IF(J64="Δ",COUNTIF(J65:L65,"W"),0)+IF(M64="Δ",COUNTIF(M65:O65,"W"),0)</f>
        <v>0</v>
      </c>
      <c r="Y66" s="171"/>
      <c r="Z66" s="171" t="str">
        <f>IF(Teams&gt;18,"Show", "Hide")</f>
        <v>Hide</v>
      </c>
      <c r="AA66" s="158"/>
      <c r="AB66" s="158"/>
      <c r="AC66" s="159"/>
      <c r="AD66" s="159"/>
      <c r="AE66" s="158"/>
      <c r="AF66" s="158"/>
      <c r="AG66" s="159"/>
      <c r="AH66" s="159"/>
      <c r="AI66" s="159"/>
      <c r="AJ66" s="159"/>
      <c r="AK66" s="159"/>
      <c r="AL66" s="159"/>
      <c r="AM66" s="159"/>
      <c r="AN66" s="159"/>
      <c r="AO66" s="159"/>
      <c r="AP66" s="159"/>
      <c r="AQ66" s="159"/>
    </row>
    <row r="67" spans="1:43" s="151" customFormat="1" ht="13.5" hidden="1" x14ac:dyDescent="0.25">
      <c r="A67" s="439">
        <f>'Tournament Info'!C34</f>
        <v>0</v>
      </c>
      <c r="B67" s="440"/>
      <c r="C67" s="441"/>
      <c r="D67" s="186" t="str">
        <f>IF(COUNTIF('Ballot Entry'!$M$3:$M$37,$A67)=1,"Π",IF(COUNTIF('Ballot Entry'!$N$3:$N$37,$A67)=1,"Δ",""))</f>
        <v/>
      </c>
      <c r="E67" s="187" t="s">
        <v>30</v>
      </c>
      <c r="F67" s="188" t="str">
        <f>IFERROR(IF(D67="Π",VLOOKUP($A67, Round1P,2,FALSE),VLOOKUP($A67,Round1D,2,FALSE)),"")</f>
        <v/>
      </c>
      <c r="G67" s="186" t="str">
        <f>IF(COUNTIF('Ballot Entry'!$M$109:$M$143,$A67)=1,"Π",IF(COUNTIF('Ballot Entry'!$N$109:$N$143,$A67)=1,"Δ",""))</f>
        <v/>
      </c>
      <c r="H67" s="187" t="s">
        <v>30</v>
      </c>
      <c r="I67" s="188" t="str">
        <f>IFERROR(IF(G67="Π",VLOOKUP($A67, Round2P,2,FALSE),VLOOKUP($A67,Round2D,2,FALSE)),"")</f>
        <v/>
      </c>
      <c r="J67" s="186" t="str">
        <f>IF(COUNTIF('Ballot Entry'!$M$215:$M$249,$A67)=1,"Π",IF(COUNTIF('Ballot Entry'!$N$215:$N$249,$A67)=1,"Δ",""))</f>
        <v/>
      </c>
      <c r="K67" s="187" t="s">
        <v>30</v>
      </c>
      <c r="L67" s="188" t="str">
        <f>IFERROR(IF(J67="Π",VLOOKUP($A67, Round3P,2,FALSE),VLOOKUP($A67,Round3D,2,FALSE)),"")</f>
        <v/>
      </c>
      <c r="M67" s="186" t="str">
        <f>IF(COUNTIF('Ballot Entry'!$M$321:$M$355,$A67)=1,"Π",IF(COUNTIF('Ballot Entry'!$N$321:$N$355,$A67)=1,"Δ",""))</f>
        <v/>
      </c>
      <c r="N67" s="187" t="s">
        <v>30</v>
      </c>
      <c r="O67" s="188" t="str">
        <f>IFERROR(IF(M67="Π",VLOOKUP($A67, Round4P,2,FALSE),VLOOKUP($A67,Round4D,2,FALSE)),"")</f>
        <v/>
      </c>
      <c r="P67" s="189">
        <f>COUNTIF(D68:O68,"W")</f>
        <v>0</v>
      </c>
      <c r="Q67" s="190" t="s">
        <v>34</v>
      </c>
      <c r="R67" s="191">
        <f>COUNTIF(D68:O68,"L")</f>
        <v>0</v>
      </c>
      <c r="S67" s="192" t="s">
        <v>34</v>
      </c>
      <c r="T67" s="193">
        <f>COUNTIF(D68:O68,"T")</f>
        <v>0</v>
      </c>
      <c r="U67" s="124">
        <f>IFERROR(VLOOKUP('Tab Summary'!F67,TeamRecord,4,FALSE ),0)</f>
        <v>0</v>
      </c>
      <c r="V67" s="125">
        <f>IFERROR(VLOOKUP('Tab Summary'!I67,TeamRecord,4,FALSE ),0)</f>
        <v>0</v>
      </c>
      <c r="W67" s="126">
        <f>IFERROR(VLOOKUP('Tab Summary'!F67,TeamRecord,6,FALSE ),0)</f>
        <v>0</v>
      </c>
      <c r="X67" s="124">
        <f>IFERROR(VLOOKUP('Tab Summary'!I67,TeamRecord,6,FALSE ),0)</f>
        <v>0</v>
      </c>
      <c r="Y67" s="171">
        <f>IF(COUNTIF('Ballot Entry'!$X$3:$X$221,(P67+(T67/2)))=2,IF((P67+(T67/2))=U67,IF(COUNTIF(D68:F68,"W")&gt;COUNTIF(D68:F68,"L"),F67,0),0)+IF((P67+(T67/2))=V67,IF(COUNTIF(G68:I68,"W")&gt;COUNTIF(G68:I68,"L"),I67,0),0)+IF((P67+(T67/2))=U68,IF(COUNTIF(J68:L68,"W")&gt;COUNTIF(J68:L68,"L"),L67,0),0)+IF((P67+(T67/2))=V68,IF(COUNTIF(M68:O68,"W")&gt;COUNTIF(M68:O68,"L"),O67,0),0),0)</f>
        <v>0</v>
      </c>
      <c r="Z67" s="171" t="str">
        <f>IF(Teams&gt;19,"Show", "Hide")</f>
        <v>Hide</v>
      </c>
      <c r="AA67" s="158"/>
      <c r="AB67" s="158"/>
      <c r="AC67" s="159"/>
      <c r="AD67" s="159"/>
      <c r="AE67" s="158"/>
      <c r="AF67" s="158"/>
      <c r="AG67" s="159"/>
      <c r="AH67" s="159"/>
      <c r="AI67" s="159"/>
      <c r="AJ67" s="159"/>
      <c r="AK67" s="159"/>
      <c r="AL67" s="159"/>
      <c r="AM67" s="159"/>
      <c r="AN67" s="159"/>
      <c r="AO67" s="159"/>
      <c r="AP67" s="159"/>
      <c r="AQ67" s="159"/>
    </row>
    <row r="68" spans="1:43" s="151" customFormat="1" ht="12.75" hidden="1" customHeight="1" x14ac:dyDescent="0.25">
      <c r="A68" s="424">
        <f>'Tournament Info'!B34</f>
        <v>0</v>
      </c>
      <c r="B68" s="425"/>
      <c r="C68" s="426"/>
      <c r="D68" s="194" t="str">
        <f t="shared" ref="D68:O68" si="19">IF(D69="","",IF(D69&gt;0,"W",IF(D69&lt;0,"L",IF(D69=0,"T"))))</f>
        <v/>
      </c>
      <c r="E68" s="195" t="str">
        <f t="shared" si="19"/>
        <v/>
      </c>
      <c r="F68" s="196" t="str">
        <f t="shared" si="19"/>
        <v/>
      </c>
      <c r="G68" s="194" t="str">
        <f t="shared" si="19"/>
        <v/>
      </c>
      <c r="H68" s="195" t="str">
        <f t="shared" si="19"/>
        <v/>
      </c>
      <c r="I68" s="196" t="str">
        <f t="shared" si="19"/>
        <v/>
      </c>
      <c r="J68" s="194" t="str">
        <f t="shared" si="19"/>
        <v/>
      </c>
      <c r="K68" s="195" t="str">
        <f t="shared" si="19"/>
        <v/>
      </c>
      <c r="L68" s="196" t="str">
        <f t="shared" si="19"/>
        <v/>
      </c>
      <c r="M68" s="194" t="str">
        <f t="shared" si="19"/>
        <v/>
      </c>
      <c r="N68" s="195" t="str">
        <f t="shared" si="19"/>
        <v/>
      </c>
      <c r="O68" s="196" t="str">
        <f t="shared" si="19"/>
        <v/>
      </c>
      <c r="P68" s="197" t="s">
        <v>35</v>
      </c>
      <c r="Q68" s="198"/>
      <c r="R68" s="198" t="s">
        <v>36</v>
      </c>
      <c r="S68" s="198"/>
      <c r="T68" s="199" t="s">
        <v>31</v>
      </c>
      <c r="U68" s="127">
        <f>IFERROR(VLOOKUP('Tab Summary'!L67,TeamRecord,4,FALSE ),0)</f>
        <v>0</v>
      </c>
      <c r="V68" s="128">
        <f>IFERROR(VLOOKUP('Tab Summary'!O67,TeamRecord,4,FALSE ),0)</f>
        <v>0</v>
      </c>
      <c r="W68" s="129">
        <f>IFERROR(VLOOKUP('Tab Summary'!L67,TeamRecord,6,FALSE ),0)</f>
        <v>0</v>
      </c>
      <c r="X68" s="127">
        <f>IFERROR(VLOOKUP('Tab Summary'!O67,TeamRecord,6,FALSE ),0)</f>
        <v>0</v>
      </c>
      <c r="Y68" s="171">
        <f>IF(Y67&lt;&gt;0,(IF(COUNTIF('Ballot Entry'!$Z$3:$Z$35,'Tab Summary'!P69)=2,IF(P69=W67,IF(COUNTIF(D68:F68,"W")&gt;COUNTIF(D68:F68,"L"),1,0),0)+IF(P69=X67,IF(COUNTIF(G68:I68,"W")&gt;COUNTIF(G68:I68,"L"),1,0),0)+IF(P69=W68,IF(COUNTIF(J68:L68,"W")&gt;COUNTIF(J68:L68,"L"),1,0),0)+IF(P69=X68,IF(COUNTIF(M68:O68,"W")&gt;COUNTIF(M68:O68,"L"),1,0),0),0)),0)</f>
        <v>0</v>
      </c>
      <c r="Z68" s="171" t="str">
        <f>IF(Teams&gt;19,"Show", "Hide")</f>
        <v>Hide</v>
      </c>
      <c r="AA68" s="158"/>
      <c r="AB68" s="158"/>
      <c r="AC68" s="159"/>
      <c r="AD68" s="159"/>
      <c r="AE68" s="158"/>
      <c r="AF68" s="158"/>
      <c r="AG68" s="159"/>
      <c r="AH68" s="159"/>
      <c r="AI68" s="159"/>
      <c r="AJ68" s="159"/>
      <c r="AK68" s="159"/>
      <c r="AL68" s="159"/>
      <c r="AM68" s="159"/>
      <c r="AN68" s="159"/>
      <c r="AO68" s="159"/>
      <c r="AP68" s="159"/>
      <c r="AQ68" s="159"/>
    </row>
    <row r="69" spans="1:43" s="151" customFormat="1" ht="13.5" hidden="1" customHeight="1" thickBot="1" x14ac:dyDescent="0.3">
      <c r="A69" s="427"/>
      <c r="B69" s="428"/>
      <c r="C69" s="429"/>
      <c r="D69" s="200" t="str">
        <f>IFERROR(IF(D67="Π",VLOOKUP($A67, Round1P,3,FALSE),VLOOKUP($A67,Round1D,3,FALSE)),"")</f>
        <v/>
      </c>
      <c r="E69" s="201" t="str">
        <f>IFERROR(IF(Ballots=3,IF(D67="Π",VLOOKUP($A67, Round1P,5,FALSE),VLOOKUP($A67,Round1D,5,FALSE)),""),"")</f>
        <v/>
      </c>
      <c r="F69" s="202" t="str">
        <f>IFERROR(IF(D67="Π",VLOOKUP($A67, Round1P,4,FALSE),VLOOKUP($A67,Round1D,4,FALSE)),"")</f>
        <v/>
      </c>
      <c r="G69" s="200" t="str">
        <f>IFERROR(IF(G67="Π",VLOOKUP($A67, Round2P,3,FALSE),VLOOKUP($A67,Round2D,3,FALSE)),"")</f>
        <v/>
      </c>
      <c r="H69" s="201" t="str">
        <f>IFERROR(IF(Ballots=3,IF(G67="Π",VLOOKUP($A67, Round2P,5,FALSE),VLOOKUP($A67,Round2D,5,FALSE)),""),"")</f>
        <v/>
      </c>
      <c r="I69" s="202" t="str">
        <f>IFERROR(IF(G67="Π",VLOOKUP($A67, Round2P,4,FALSE),VLOOKUP($A67,Round2D,4,FALSE)),"")</f>
        <v/>
      </c>
      <c r="J69" s="200" t="str">
        <f>IFERROR(IF(J67="Π",VLOOKUP($A67, Round3P,3,FALSE),VLOOKUP($A67,Round3D,3,FALSE)),"")</f>
        <v/>
      </c>
      <c r="K69" s="201" t="str">
        <f>IFERROR(IF(Ballots=3,IF(J67="Π",VLOOKUP($A67, Round3P,5,FALSE),VLOOKUP($A67,Round3D,5,FALSE)),""),"")</f>
        <v/>
      </c>
      <c r="L69" s="202" t="str">
        <f>IFERROR(IF(J67="Π",VLOOKUP($A67, Round3P,4,FALSE),VLOOKUP($A67,Round3D,4,FALSE)),"")</f>
        <v/>
      </c>
      <c r="M69" s="200" t="str">
        <f>IFERROR(IF(M67="Π",VLOOKUP($A67, Round4P,3,FALSE),VLOOKUP($A67,Round4D,3,FALSE)),"")</f>
        <v/>
      </c>
      <c r="N69" s="201" t="str">
        <f>IFERROR(IF(Ballots=3,IF(M67="Π",VLOOKUP($A67, Round4P,5,FALSE),VLOOKUP($A67,Round4D,5,FALSE)),""),"")</f>
        <v/>
      </c>
      <c r="O69" s="202" t="str">
        <f>IFERROR(IF(M67="Π",VLOOKUP($A67, Round4P,4,FALSE),VLOOKUP($A67,Round4D,4,FALSE)),"")</f>
        <v/>
      </c>
      <c r="P69" s="203">
        <f>'Tab Summary'!U67+'Tab Summary'!V67+'Tab Summary'!U68+'Tab Summary'!V68</f>
        <v>0</v>
      </c>
      <c r="Q69" s="204"/>
      <c r="R69" s="205">
        <f>SUM('Tab Summary'!W67:X68)</f>
        <v>0</v>
      </c>
      <c r="S69" s="206"/>
      <c r="T69" s="207">
        <f>SUM(D69:O69)</f>
        <v>0</v>
      </c>
      <c r="U69" s="130" t="s">
        <v>67</v>
      </c>
      <c r="V69" s="131">
        <f>IF(D67="Π",COUNTIF(D68:F68,"W"),0)+IF(G67="Π",COUNTIF(G68:I68,"W"),0)+IF(J67="Π",COUNTIF(J68:L68,"W"),0)+IF(M67="Π",COUNTIF(M68:O68,"W"),0)</f>
        <v>0</v>
      </c>
      <c r="W69" s="132" t="s">
        <v>68</v>
      </c>
      <c r="X69" s="130">
        <f>IF(D67="Δ",COUNTIF(D68:F68,"W"),0)+IF(G67="Δ",COUNTIF(G68:I68,"W"),0)+IF(J67="Δ",COUNTIF(J68:L68,"W"),0)+IF(M67="Δ",COUNTIF(M68:O68,"W"),0)</f>
        <v>0</v>
      </c>
      <c r="Y69" s="171"/>
      <c r="Z69" s="171" t="str">
        <f>IF(Teams&gt;19,"Show", "Hide")</f>
        <v>Hide</v>
      </c>
      <c r="AA69" s="158"/>
      <c r="AB69" s="158"/>
      <c r="AC69" s="159"/>
      <c r="AD69" s="159"/>
      <c r="AE69" s="158"/>
      <c r="AF69" s="158"/>
      <c r="AG69" s="159"/>
      <c r="AH69" s="159"/>
      <c r="AI69" s="159"/>
      <c r="AJ69" s="159"/>
      <c r="AK69" s="159"/>
      <c r="AL69" s="159"/>
      <c r="AM69" s="159"/>
      <c r="AN69" s="159"/>
      <c r="AO69" s="159"/>
      <c r="AP69" s="159"/>
      <c r="AQ69" s="159"/>
    </row>
    <row r="70" spans="1:43" s="151" customFormat="1" ht="13.5" hidden="1" x14ac:dyDescent="0.25">
      <c r="A70" s="430">
        <f>'Tournament Info'!C35</f>
        <v>0</v>
      </c>
      <c r="B70" s="431"/>
      <c r="C70" s="432"/>
      <c r="D70" s="163" t="str">
        <f>IF(COUNTIF('Ballot Entry'!$M$3:$M$37,$A70)=1,"Π",IF(COUNTIF('Ballot Entry'!$N$3:$N$37,$A70)=1,"Δ",""))</f>
        <v/>
      </c>
      <c r="E70" s="164" t="s">
        <v>30</v>
      </c>
      <c r="F70" s="165" t="str">
        <f>IFERROR(IF(D70="Π",VLOOKUP($A70, Round1P,2,FALSE),VLOOKUP($A70,Round1D,2,FALSE)),"")</f>
        <v/>
      </c>
      <c r="G70" s="163" t="str">
        <f>IF(COUNTIF('Ballot Entry'!$M$109:$M$143,$A70)=1,"Π",IF(COUNTIF('Ballot Entry'!$N$109:$N$143,$A70)=1,"Δ",""))</f>
        <v/>
      </c>
      <c r="H70" s="164" t="s">
        <v>30</v>
      </c>
      <c r="I70" s="165" t="str">
        <f>IFERROR(IF(G70="Π",VLOOKUP($A70, Round2P,2,FALSE),VLOOKUP($A70,Round2D,2,FALSE)),"")</f>
        <v/>
      </c>
      <c r="J70" s="163" t="str">
        <f>IF(COUNTIF('Ballot Entry'!$M$215:$M$249,$A70)=1,"Π",IF(COUNTIF('Ballot Entry'!$N$215:$N$249,$A70)=1,"Δ",""))</f>
        <v/>
      </c>
      <c r="K70" s="164" t="s">
        <v>30</v>
      </c>
      <c r="L70" s="165" t="str">
        <f>IFERROR(IF(J70="Π",VLOOKUP($A70, Round3P,2,FALSE),VLOOKUP($A70,Round3D,2,FALSE)),"")</f>
        <v/>
      </c>
      <c r="M70" s="163" t="str">
        <f>IF(COUNTIF('Ballot Entry'!$M$321:$M$355,$A70)=1,"Π",IF(COUNTIF('Ballot Entry'!$N$321:$N$355,$A70)=1,"Δ",""))</f>
        <v/>
      </c>
      <c r="N70" s="164" t="s">
        <v>30</v>
      </c>
      <c r="O70" s="165" t="str">
        <f>IFERROR(IF(M70="Π",VLOOKUP($A70, Round4P,2,FALSE),VLOOKUP($A70,Round4D,2,FALSE)),"")</f>
        <v/>
      </c>
      <c r="P70" s="166">
        <f>COUNTIF(D71:O71,"W")</f>
        <v>0</v>
      </c>
      <c r="Q70" s="167" t="s">
        <v>34</v>
      </c>
      <c r="R70" s="168">
        <f>COUNTIF(D71:O71,"L")</f>
        <v>0</v>
      </c>
      <c r="S70" s="169" t="s">
        <v>34</v>
      </c>
      <c r="T70" s="170">
        <f>COUNTIF(D71:O71,"T")</f>
        <v>0</v>
      </c>
      <c r="U70" s="124">
        <f>IFERROR(VLOOKUP('Tab Summary'!F70,TeamRecord,4,FALSE ),0)</f>
        <v>0</v>
      </c>
      <c r="V70" s="125">
        <f>IFERROR(VLOOKUP('Tab Summary'!I70,TeamRecord,4,FALSE ),0)</f>
        <v>0</v>
      </c>
      <c r="W70" s="126">
        <f>IFERROR(VLOOKUP('Tab Summary'!F70,TeamRecord,6,FALSE ),0)</f>
        <v>0</v>
      </c>
      <c r="X70" s="124">
        <f>IFERROR(VLOOKUP('Tab Summary'!I70,TeamRecord,6,FALSE ),0)</f>
        <v>0</v>
      </c>
      <c r="Y70" s="171">
        <f>IF(COUNTIF('Ballot Entry'!$X$3:$X$221,(P70+(T70/2)))=2,IF((P70+(T70/2))=U70,IF(COUNTIF(D71:F71,"W")&gt;COUNTIF(D71:F71,"L"),F70,0),0)+IF((P70+(T70/2))=V70,IF(COUNTIF(G71:I71,"W")&gt;COUNTIF(G71:I71,"L"),I70,0),0)+IF((P70+(T70/2))=U71,IF(COUNTIF(J71:L71,"W")&gt;COUNTIF(J71:L71,"L"),L70,0),0)+IF((P70+(T70/2))=V71,IF(COUNTIF(M71:O71,"W")&gt;COUNTIF(M71:O71,"L"),O70,0),0),0)</f>
        <v>0</v>
      </c>
      <c r="Z70" s="171" t="str">
        <f>IF(Teams&gt;20,"Show", "Hide")</f>
        <v>Hide</v>
      </c>
      <c r="AA70" s="158"/>
      <c r="AB70" s="158"/>
      <c r="AC70" s="159"/>
      <c r="AD70" s="159"/>
      <c r="AE70" s="158"/>
      <c r="AF70" s="158"/>
      <c r="AG70" s="159"/>
      <c r="AH70" s="159"/>
      <c r="AI70" s="159"/>
      <c r="AJ70" s="159"/>
      <c r="AK70" s="159"/>
      <c r="AL70" s="159"/>
      <c r="AM70" s="159"/>
      <c r="AN70" s="159"/>
      <c r="AO70" s="159"/>
      <c r="AP70" s="159"/>
      <c r="AQ70" s="159"/>
    </row>
    <row r="71" spans="1:43" s="151" customFormat="1" ht="12.75" hidden="1" customHeight="1" x14ac:dyDescent="0.25">
      <c r="A71" s="433">
        <f>'Tournament Info'!B35</f>
        <v>0</v>
      </c>
      <c r="B71" s="434"/>
      <c r="C71" s="435"/>
      <c r="D71" s="172" t="str">
        <f t="shared" ref="D71:O71" si="20">IF(D72="","",IF(D72&gt;0,"W",IF(D72&lt;0,"L",IF(D72=0,"T"))))</f>
        <v/>
      </c>
      <c r="E71" s="173" t="str">
        <f t="shared" si="20"/>
        <v/>
      </c>
      <c r="F71" s="174" t="str">
        <f t="shared" si="20"/>
        <v/>
      </c>
      <c r="G71" s="172" t="str">
        <f t="shared" si="20"/>
        <v/>
      </c>
      <c r="H71" s="173" t="str">
        <f t="shared" si="20"/>
        <v/>
      </c>
      <c r="I71" s="174" t="str">
        <f t="shared" si="20"/>
        <v/>
      </c>
      <c r="J71" s="172" t="str">
        <f t="shared" si="20"/>
        <v/>
      </c>
      <c r="K71" s="173" t="str">
        <f t="shared" si="20"/>
        <v/>
      </c>
      <c r="L71" s="174" t="str">
        <f t="shared" si="20"/>
        <v/>
      </c>
      <c r="M71" s="172" t="str">
        <f t="shared" si="20"/>
        <v/>
      </c>
      <c r="N71" s="173" t="str">
        <f t="shared" si="20"/>
        <v/>
      </c>
      <c r="O71" s="174" t="str">
        <f t="shared" si="20"/>
        <v/>
      </c>
      <c r="P71" s="175" t="s">
        <v>35</v>
      </c>
      <c r="Q71" s="176"/>
      <c r="R71" s="176" t="s">
        <v>36</v>
      </c>
      <c r="S71" s="176"/>
      <c r="T71" s="177" t="s">
        <v>31</v>
      </c>
      <c r="U71" s="127">
        <f>IFERROR(VLOOKUP('Tab Summary'!L70,TeamRecord,4,FALSE ),0)</f>
        <v>0</v>
      </c>
      <c r="V71" s="128">
        <f>IFERROR(VLOOKUP('Tab Summary'!O70,TeamRecord,4,FALSE ),0)</f>
        <v>0</v>
      </c>
      <c r="W71" s="129">
        <f>IFERROR(VLOOKUP('Tab Summary'!L70,TeamRecord,6,FALSE ),0)</f>
        <v>0</v>
      </c>
      <c r="X71" s="127">
        <f>IFERROR(VLOOKUP('Tab Summary'!O70,TeamRecord,6,FALSE ),0)</f>
        <v>0</v>
      </c>
      <c r="Y71" s="171">
        <f>IF(Y70&lt;&gt;0,(IF(COUNTIF('Ballot Entry'!$Z$3:$Z$35,'Tab Summary'!P72)=2,IF(P72=W70,IF(COUNTIF(D71:F71,"W")&gt;COUNTIF(D71:F71,"L"),1,0),0)+IF(P72=X70,IF(COUNTIF(G71:I71,"W")&gt;COUNTIF(G71:I71,"L"),1,0),0)+IF(P72=W71,IF(COUNTIF(J71:L71,"W")&gt;COUNTIF(J71:L71,"L"),1,0),0)+IF(P72=X71,IF(COUNTIF(M71:O71,"W")&gt;COUNTIF(M71:O71,"L"),1,0),0),0)),0)</f>
        <v>0</v>
      </c>
      <c r="Z71" s="171" t="str">
        <f>IF(Teams&gt;20,"Show", "Hide")</f>
        <v>Hide</v>
      </c>
      <c r="AA71" s="158"/>
      <c r="AB71" s="158"/>
      <c r="AC71" s="159"/>
      <c r="AD71" s="159"/>
      <c r="AE71" s="158"/>
      <c r="AF71" s="158"/>
      <c r="AG71" s="159"/>
      <c r="AH71" s="159"/>
      <c r="AI71" s="159"/>
      <c r="AJ71" s="159"/>
      <c r="AK71" s="159"/>
      <c r="AL71" s="159"/>
      <c r="AM71" s="159"/>
      <c r="AN71" s="159"/>
      <c r="AO71" s="159"/>
      <c r="AP71" s="159"/>
      <c r="AQ71" s="159"/>
    </row>
    <row r="72" spans="1:43" s="151" customFormat="1" ht="13.5" hidden="1" customHeight="1" thickBot="1" x14ac:dyDescent="0.3">
      <c r="A72" s="436"/>
      <c r="B72" s="437"/>
      <c r="C72" s="438"/>
      <c r="D72" s="178" t="str">
        <f>IFERROR(IF(D70="Π",VLOOKUP($A70, Round1P,3,FALSE),VLOOKUP($A70,Round1D,3,FALSE)),"")</f>
        <v/>
      </c>
      <c r="E72" s="179" t="str">
        <f>IFERROR(IF(Ballots=3,IF(D70="Π",VLOOKUP($A70, Round1P,5,FALSE),VLOOKUP($A70,Round1D,5,FALSE)),""),"")</f>
        <v/>
      </c>
      <c r="F72" s="180" t="str">
        <f>IFERROR(IF(D70="Π",VLOOKUP($A70, Round1P,4,FALSE),VLOOKUP($A70,Round1D,4,FALSE)),"")</f>
        <v/>
      </c>
      <c r="G72" s="178" t="str">
        <f>IFERROR(IF(G70="Π",VLOOKUP($A70, Round2P,3,FALSE),VLOOKUP($A70,Round2D,3,FALSE)),"")</f>
        <v/>
      </c>
      <c r="H72" s="179" t="str">
        <f>IFERROR(IF(Ballots=3,IF(G70="Π",VLOOKUP($A70, Round2P,5,FALSE),VLOOKUP($A70,Round2D,5,FALSE)),""),"")</f>
        <v/>
      </c>
      <c r="I72" s="180" t="str">
        <f>IFERROR(IF(G70="Π",VLOOKUP($A70, Round2P,4,FALSE),VLOOKUP($A70,Round2D,4,FALSE)),"")</f>
        <v/>
      </c>
      <c r="J72" s="178" t="str">
        <f>IFERROR(IF(J70="Π",VLOOKUP($A70, Round3P,3,FALSE),VLOOKUP($A70,Round3D,3,FALSE)),"")</f>
        <v/>
      </c>
      <c r="K72" s="179" t="str">
        <f>IFERROR(IF(Ballots=3,IF(J70="Π",VLOOKUP($A70, Round3P,5,FALSE),VLOOKUP($A70,Round3D,5,FALSE)),""),"")</f>
        <v/>
      </c>
      <c r="L72" s="180" t="str">
        <f>IFERROR(IF(J70="Π",VLOOKUP($A70, Round3P,4,FALSE),VLOOKUP($A70,Round3D,4,FALSE)),"")</f>
        <v/>
      </c>
      <c r="M72" s="178" t="str">
        <f>IFERROR(IF(M70="Π",VLOOKUP($A70, Round4P,3,FALSE),VLOOKUP($A70,Round4D,3,FALSE)),"")</f>
        <v/>
      </c>
      <c r="N72" s="179" t="str">
        <f>IFERROR(IF(Ballots=3,IF(M70="Π",VLOOKUP($A70, Round4P,5,FALSE),VLOOKUP($A70,Round4D,5,FALSE)),""),"")</f>
        <v/>
      </c>
      <c r="O72" s="180" t="str">
        <f>IFERROR(IF(M70="Π",VLOOKUP($A70, Round4P,4,FALSE),VLOOKUP($A70,Round4D,4,FALSE)),"")</f>
        <v/>
      </c>
      <c r="P72" s="181">
        <f>'Tab Summary'!U70+'Tab Summary'!V70+'Tab Summary'!U71+'Tab Summary'!V71</f>
        <v>0</v>
      </c>
      <c r="Q72" s="182"/>
      <c r="R72" s="183">
        <f>SUM('Tab Summary'!W70:X71)</f>
        <v>0</v>
      </c>
      <c r="S72" s="184"/>
      <c r="T72" s="185">
        <f>SUM(D72:O72)</f>
        <v>0</v>
      </c>
      <c r="U72" s="130" t="s">
        <v>67</v>
      </c>
      <c r="V72" s="131">
        <f>IF(D70="Π",COUNTIF(D71:F71,"W"),0)+IF(G70="Π",COUNTIF(G71:I71,"W"),0)+IF(J70="Π",COUNTIF(J71:L71,"W"),0)+IF(M70="Π",COUNTIF(M71:O71,"W"),0)</f>
        <v>0</v>
      </c>
      <c r="W72" s="132" t="s">
        <v>68</v>
      </c>
      <c r="X72" s="130">
        <f>IF(D70="Δ",COUNTIF(D71:F71,"W"),0)+IF(G70="Δ",COUNTIF(G71:I71,"W"),0)+IF(J70="Δ",COUNTIF(J71:L71,"W"),0)+IF(M70="Δ",COUNTIF(M71:O71,"W"),0)</f>
        <v>0</v>
      </c>
      <c r="Y72" s="171"/>
      <c r="Z72" s="171" t="str">
        <f>IF(Teams&gt;20,"Show", "Hide")</f>
        <v>Hide</v>
      </c>
      <c r="AA72" s="158"/>
      <c r="AB72" s="158"/>
      <c r="AC72" s="159"/>
      <c r="AD72" s="159"/>
      <c r="AE72" s="158"/>
      <c r="AF72" s="158"/>
      <c r="AG72" s="159"/>
      <c r="AH72" s="159"/>
      <c r="AI72" s="159"/>
      <c r="AJ72" s="159"/>
      <c r="AK72" s="159"/>
      <c r="AL72" s="159"/>
      <c r="AM72" s="159"/>
      <c r="AN72" s="159"/>
      <c r="AO72" s="159"/>
      <c r="AP72" s="159"/>
      <c r="AQ72" s="159"/>
    </row>
    <row r="73" spans="1:43" s="151" customFormat="1" ht="13.5" hidden="1" x14ac:dyDescent="0.25">
      <c r="A73" s="439">
        <f>'Tournament Info'!C36</f>
        <v>0</v>
      </c>
      <c r="B73" s="440"/>
      <c r="C73" s="441"/>
      <c r="D73" s="186" t="str">
        <f>IF(COUNTIF('Ballot Entry'!$M$3:$M$37,$A73)=1,"Π",IF(COUNTIF('Ballot Entry'!$N$3:$N$37,$A73)=1,"Δ",""))</f>
        <v/>
      </c>
      <c r="E73" s="187" t="s">
        <v>30</v>
      </c>
      <c r="F73" s="188" t="str">
        <f>IFERROR(IF(D73="Π",VLOOKUP($A73, Round1P,2,FALSE),VLOOKUP($A73,Round1D,2,FALSE)),"")</f>
        <v/>
      </c>
      <c r="G73" s="186" t="str">
        <f>IF(COUNTIF('Ballot Entry'!$M$109:$M$143,$A73)=1,"Π",IF(COUNTIF('Ballot Entry'!$N$109:$N$143,$A73)=1,"Δ",""))</f>
        <v/>
      </c>
      <c r="H73" s="187" t="s">
        <v>30</v>
      </c>
      <c r="I73" s="188" t="str">
        <f>IFERROR(IF(G73="Π",VLOOKUP($A73, Round2P,2,FALSE),VLOOKUP($A73,Round2D,2,FALSE)),"")</f>
        <v/>
      </c>
      <c r="J73" s="186" t="str">
        <f>IF(COUNTIF('Ballot Entry'!$M$215:$M$249,$A73)=1,"Π",IF(COUNTIF('Ballot Entry'!$N$215:$N$249,$A73)=1,"Δ",""))</f>
        <v/>
      </c>
      <c r="K73" s="187" t="s">
        <v>30</v>
      </c>
      <c r="L73" s="188" t="str">
        <f>IFERROR(IF(J73="Π",VLOOKUP($A73, Round3P,2,FALSE),VLOOKUP($A73,Round3D,2,FALSE)),"")</f>
        <v/>
      </c>
      <c r="M73" s="186" t="str">
        <f>IF(COUNTIF('Ballot Entry'!$M$321:$M$355,$A73)=1,"Π",IF(COUNTIF('Ballot Entry'!$N$321:$N$355,$A73)=1,"Δ",""))</f>
        <v/>
      </c>
      <c r="N73" s="187" t="s">
        <v>30</v>
      </c>
      <c r="O73" s="188" t="str">
        <f>IFERROR(IF(M73="Π",VLOOKUP($A73, Round4P,2,FALSE),VLOOKUP($A73,Round4D,2,FALSE)),"")</f>
        <v/>
      </c>
      <c r="P73" s="189">
        <f>COUNTIF(D74:O74,"W")</f>
        <v>0</v>
      </c>
      <c r="Q73" s="190" t="s">
        <v>34</v>
      </c>
      <c r="R73" s="191">
        <f>COUNTIF(D74:O74,"L")</f>
        <v>0</v>
      </c>
      <c r="S73" s="192" t="s">
        <v>34</v>
      </c>
      <c r="T73" s="193">
        <f>COUNTIF(D74:O74,"T")</f>
        <v>0</v>
      </c>
      <c r="U73" s="124">
        <f>IFERROR(VLOOKUP('Tab Summary'!F73,TeamRecord,4,FALSE ),0)</f>
        <v>0</v>
      </c>
      <c r="V73" s="125">
        <f>IFERROR(VLOOKUP('Tab Summary'!I73,TeamRecord,4,FALSE ),0)</f>
        <v>0</v>
      </c>
      <c r="W73" s="126">
        <f>IFERROR(VLOOKUP('Tab Summary'!F73,TeamRecord,6,FALSE ),0)</f>
        <v>0</v>
      </c>
      <c r="X73" s="124">
        <f>IFERROR(VLOOKUP('Tab Summary'!I73,TeamRecord,6,FALSE ),0)</f>
        <v>0</v>
      </c>
      <c r="Y73" s="171">
        <f>IF(COUNTIF('Ballot Entry'!$X$3:$X$221,(P73+(T73/2)))=2,IF((P73+(T73/2))=U73,IF(COUNTIF(D74:F74,"W")&gt;COUNTIF(D74:F74,"L"),F73,0),0)+IF((P73+(T73/2))=V73,IF(COUNTIF(G74:I74,"W")&gt;COUNTIF(G74:I74,"L"),I73,0),0)+IF((P73+(T73/2))=U74,IF(COUNTIF(J74:L74,"W")&gt;COUNTIF(J74:L74,"L"),L73,0),0)+IF((P73+(T73/2))=V74,IF(COUNTIF(M74:O74,"W")&gt;COUNTIF(M74:O74,"L"),O73,0),0),0)</f>
        <v>0</v>
      </c>
      <c r="Z73" s="171" t="str">
        <f>IF(Teams&gt;21,"Show", "Hide")</f>
        <v>Hide</v>
      </c>
      <c r="AA73" s="290"/>
      <c r="AB73" s="158"/>
      <c r="AC73" s="159"/>
      <c r="AD73" s="159"/>
      <c r="AE73" s="158"/>
      <c r="AF73" s="158"/>
      <c r="AG73" s="159"/>
      <c r="AH73" s="159"/>
      <c r="AI73" s="159"/>
      <c r="AJ73" s="159"/>
      <c r="AK73" s="159"/>
      <c r="AL73" s="159"/>
      <c r="AM73" s="159"/>
      <c r="AN73" s="159"/>
      <c r="AO73" s="159"/>
      <c r="AP73" s="159"/>
      <c r="AQ73" s="159"/>
    </row>
    <row r="74" spans="1:43" s="151" customFormat="1" ht="12.75" hidden="1" customHeight="1" x14ac:dyDescent="0.25">
      <c r="A74" s="424">
        <f>'Tournament Info'!B36</f>
        <v>0</v>
      </c>
      <c r="B74" s="425"/>
      <c r="C74" s="426"/>
      <c r="D74" s="194" t="str">
        <f t="shared" ref="D74:O74" si="21">IF(D75="","",IF(D75&gt;0,"W",IF(D75&lt;0,"L",IF(D75=0,"T"))))</f>
        <v/>
      </c>
      <c r="E74" s="195" t="str">
        <f t="shared" si="21"/>
        <v/>
      </c>
      <c r="F74" s="196" t="str">
        <f t="shared" si="21"/>
        <v/>
      </c>
      <c r="G74" s="194" t="str">
        <f t="shared" si="21"/>
        <v/>
      </c>
      <c r="H74" s="195" t="str">
        <f t="shared" si="21"/>
        <v/>
      </c>
      <c r="I74" s="196" t="str">
        <f t="shared" si="21"/>
        <v/>
      </c>
      <c r="J74" s="194" t="str">
        <f t="shared" si="21"/>
        <v/>
      </c>
      <c r="K74" s="195" t="str">
        <f t="shared" si="21"/>
        <v/>
      </c>
      <c r="L74" s="196" t="str">
        <f t="shared" si="21"/>
        <v/>
      </c>
      <c r="M74" s="194" t="str">
        <f t="shared" si="21"/>
        <v/>
      </c>
      <c r="N74" s="195" t="str">
        <f t="shared" si="21"/>
        <v/>
      </c>
      <c r="O74" s="196" t="str">
        <f t="shared" si="21"/>
        <v/>
      </c>
      <c r="P74" s="197" t="s">
        <v>35</v>
      </c>
      <c r="Q74" s="198"/>
      <c r="R74" s="198" t="s">
        <v>36</v>
      </c>
      <c r="S74" s="198"/>
      <c r="T74" s="199" t="s">
        <v>31</v>
      </c>
      <c r="U74" s="127">
        <f>IFERROR(VLOOKUP('Tab Summary'!L73,TeamRecord,4,FALSE ),0)</f>
        <v>0</v>
      </c>
      <c r="V74" s="128">
        <f>IFERROR(VLOOKUP('Tab Summary'!O73,TeamRecord,4,FALSE ),0)</f>
        <v>0</v>
      </c>
      <c r="W74" s="129">
        <f>IFERROR(VLOOKUP('Tab Summary'!L73,TeamRecord,6,FALSE ),0)</f>
        <v>0</v>
      </c>
      <c r="X74" s="127">
        <f>IFERROR(VLOOKUP('Tab Summary'!O73,TeamRecord,6,FALSE ),0)</f>
        <v>0</v>
      </c>
      <c r="Y74" s="171">
        <f>IF(Y73&lt;&gt;0,(IF(COUNTIF('Ballot Entry'!$Z$3:$Z$35,'Tab Summary'!P75)=2,IF(P75=W73,IF(COUNTIF(D74:F74,"W")&gt;COUNTIF(D74:F74,"L"),1,0),0)+IF(P75=X73,IF(COUNTIF(G74:I74,"W")&gt;COUNTIF(G74:I74,"L"),1,0),0)+IF(P75=W74,IF(COUNTIF(J74:L74,"W")&gt;COUNTIF(J74:L74,"L"),1,0),0)+IF(P75=X74,IF(COUNTIF(M74:O74,"W")&gt;COUNTIF(M74:O74,"L"),1,0),0),0)),0)</f>
        <v>0</v>
      </c>
      <c r="Z74" s="171" t="str">
        <f>IF(Teams&gt;21,"Show", "Hide")</f>
        <v>Hide</v>
      </c>
      <c r="AA74" s="158"/>
      <c r="AB74" s="158"/>
      <c r="AC74" s="159"/>
      <c r="AD74" s="159"/>
      <c r="AE74" s="158"/>
      <c r="AF74" s="158"/>
      <c r="AG74" s="159"/>
      <c r="AH74" s="159"/>
      <c r="AI74" s="159"/>
      <c r="AJ74" s="159"/>
      <c r="AK74" s="159"/>
      <c r="AL74" s="159"/>
      <c r="AM74" s="159"/>
      <c r="AN74" s="159"/>
      <c r="AO74" s="159"/>
      <c r="AP74" s="159"/>
      <c r="AQ74" s="159"/>
    </row>
    <row r="75" spans="1:43" s="151" customFormat="1" ht="13.5" hidden="1" customHeight="1" thickBot="1" x14ac:dyDescent="0.3">
      <c r="A75" s="427"/>
      <c r="B75" s="428"/>
      <c r="C75" s="429"/>
      <c r="D75" s="200" t="str">
        <f>IFERROR(IF(D73="Π",VLOOKUP($A73, Round1P,3,FALSE),VLOOKUP($A73,Round1D,3,FALSE)),"")</f>
        <v/>
      </c>
      <c r="E75" s="201" t="str">
        <f>IFERROR(IF(Ballots=3,IF(D73="Π",VLOOKUP($A73, Round1P,5,FALSE),VLOOKUP($A73,Round1D,5,FALSE)),""),"")</f>
        <v/>
      </c>
      <c r="F75" s="202" t="str">
        <f>IFERROR(IF(D73="Π",VLOOKUP($A73, Round1P,4,FALSE),VLOOKUP($A73,Round1D,4,FALSE)),"")</f>
        <v/>
      </c>
      <c r="G75" s="200" t="str">
        <f>IFERROR(IF(G73="Π",VLOOKUP($A73, Round2P,3,FALSE),VLOOKUP($A73,Round2D,3,FALSE)),"")</f>
        <v/>
      </c>
      <c r="H75" s="201" t="str">
        <f>IFERROR(IF(Ballots=3,IF(G73="Π",VLOOKUP($A73, Round2P,5,FALSE),VLOOKUP($A73,Round2D,5,FALSE)),""),"")</f>
        <v/>
      </c>
      <c r="I75" s="202" t="str">
        <f>IFERROR(IF(G73="Π",VLOOKUP($A73, Round2P,4,FALSE),VLOOKUP($A73,Round2D,4,FALSE)),"")</f>
        <v/>
      </c>
      <c r="J75" s="200" t="str">
        <f>IFERROR(IF(J73="Π",VLOOKUP($A73, Round3P,3,FALSE),VLOOKUP($A73,Round3D,3,FALSE)),"")</f>
        <v/>
      </c>
      <c r="K75" s="201" t="str">
        <f>IFERROR(IF(Ballots=3,IF(J73="Π",VLOOKUP($A73, Round3P,5,FALSE),VLOOKUP($A73,Round3D,5,FALSE)),""),"")</f>
        <v/>
      </c>
      <c r="L75" s="202" t="str">
        <f>IFERROR(IF(J73="Π",VLOOKUP($A73, Round3P,4,FALSE),VLOOKUP($A73,Round3D,4,FALSE)),"")</f>
        <v/>
      </c>
      <c r="M75" s="200" t="str">
        <f>IFERROR(IF(M73="Π",VLOOKUP($A73, Round4P,3,FALSE),VLOOKUP($A73,Round4D,3,FALSE)),"")</f>
        <v/>
      </c>
      <c r="N75" s="201" t="str">
        <f>IFERROR(IF(Ballots=3,IF(M73="Π",VLOOKUP($A73, Round4P,5,FALSE),VLOOKUP($A73,Round4D,5,FALSE)),""),"")</f>
        <v/>
      </c>
      <c r="O75" s="202" t="str">
        <f>IFERROR(IF(M73="Π",VLOOKUP($A73, Round4P,4,FALSE),VLOOKUP($A73,Round4D,4,FALSE)),"")</f>
        <v/>
      </c>
      <c r="P75" s="203">
        <f>'Tab Summary'!U73+'Tab Summary'!V73+'Tab Summary'!U74+'Tab Summary'!V74</f>
        <v>0</v>
      </c>
      <c r="Q75" s="204"/>
      <c r="R75" s="205">
        <f>SUM('Tab Summary'!W73:X74)</f>
        <v>0</v>
      </c>
      <c r="S75" s="206"/>
      <c r="T75" s="207">
        <f>SUM(D75:O75)</f>
        <v>0</v>
      </c>
      <c r="U75" s="130" t="s">
        <v>67</v>
      </c>
      <c r="V75" s="131">
        <f>IF(D73="Π",COUNTIF(D74:F74,"W"),0)+IF(G73="Π",COUNTIF(G74:I74,"W"),0)+IF(J73="Π",COUNTIF(J74:L74,"W"),0)+IF(M73="Π",COUNTIF(M74:O74,"W"),0)</f>
        <v>0</v>
      </c>
      <c r="W75" s="132" t="s">
        <v>68</v>
      </c>
      <c r="X75" s="130">
        <f>IF(D73="Δ",COUNTIF(D74:F74,"W"),0)+IF(G73="Δ",COUNTIF(G74:I74,"W"),0)+IF(J73="Δ",COUNTIF(J74:L74,"W"),0)+IF(M73="Δ",COUNTIF(M74:O74,"W"),0)</f>
        <v>0</v>
      </c>
      <c r="Y75" s="171"/>
      <c r="Z75" s="171" t="str">
        <f>IF(Teams&gt;21,"Show", "Hide")</f>
        <v>Hide</v>
      </c>
      <c r="AA75" s="158"/>
      <c r="AB75" s="158"/>
      <c r="AC75" s="159"/>
      <c r="AD75" s="159"/>
      <c r="AE75" s="158"/>
      <c r="AF75" s="158"/>
      <c r="AG75" s="159"/>
      <c r="AH75" s="159"/>
      <c r="AI75" s="159"/>
      <c r="AJ75" s="159"/>
      <c r="AK75" s="159"/>
      <c r="AL75" s="159"/>
      <c r="AM75" s="159"/>
      <c r="AN75" s="159"/>
      <c r="AO75" s="159"/>
      <c r="AP75" s="159"/>
      <c r="AQ75" s="159"/>
    </row>
    <row r="76" spans="1:43" s="151" customFormat="1" ht="13.5" hidden="1" x14ac:dyDescent="0.25">
      <c r="A76" s="430">
        <f>'Tournament Info'!C37</f>
        <v>0</v>
      </c>
      <c r="B76" s="431"/>
      <c r="C76" s="432"/>
      <c r="D76" s="163" t="str">
        <f>IF(COUNTIF('Ballot Entry'!$M$3:$M$37,$A76)=1,"Π",IF(COUNTIF('Ballot Entry'!$N$3:$N$37,$A76)=1,"Δ",""))</f>
        <v/>
      </c>
      <c r="E76" s="164" t="s">
        <v>30</v>
      </c>
      <c r="F76" s="165" t="str">
        <f>IFERROR(IF(D76="Π",VLOOKUP($A76, Round1P,2,FALSE),VLOOKUP($A76,Round1D,2,FALSE)),"")</f>
        <v/>
      </c>
      <c r="G76" s="163" t="str">
        <f>IF(COUNTIF('Ballot Entry'!$M$109:$M$143,$A76)=1,"Π",IF(COUNTIF('Ballot Entry'!$N$109:$N$143,$A76)=1,"Δ",""))</f>
        <v/>
      </c>
      <c r="H76" s="164" t="s">
        <v>30</v>
      </c>
      <c r="I76" s="165" t="str">
        <f>IFERROR(IF(G76="Π",VLOOKUP($A76, Round2P,2,FALSE),VLOOKUP($A76,Round2D,2,FALSE)),"")</f>
        <v/>
      </c>
      <c r="J76" s="163" t="str">
        <f>IF(COUNTIF('Ballot Entry'!$M$215:$M$249,$A76)=1,"Π",IF(COUNTIF('Ballot Entry'!$N$215:$N$249,$A76)=1,"Δ",""))</f>
        <v/>
      </c>
      <c r="K76" s="164" t="s">
        <v>30</v>
      </c>
      <c r="L76" s="165" t="str">
        <f>IFERROR(IF(J76="Π",VLOOKUP($A76, Round3P,2,FALSE),VLOOKUP($A76,Round3D,2,FALSE)),"")</f>
        <v/>
      </c>
      <c r="M76" s="163" t="str">
        <f>IF(COUNTIF('Ballot Entry'!$M$321:$M$355,$A76)=1,"Π",IF(COUNTIF('Ballot Entry'!$N$321:$N$355,$A76)=1,"Δ",""))</f>
        <v/>
      </c>
      <c r="N76" s="164" t="s">
        <v>30</v>
      </c>
      <c r="O76" s="165" t="str">
        <f>IFERROR(IF(M76="Π",VLOOKUP($A76, Round4P,2,FALSE),VLOOKUP($A76,Round4D,2,FALSE)),"")</f>
        <v/>
      </c>
      <c r="P76" s="166">
        <f>COUNTIF(D77:O77,"W")</f>
        <v>0</v>
      </c>
      <c r="Q76" s="167" t="s">
        <v>34</v>
      </c>
      <c r="R76" s="168">
        <f>COUNTIF(D77:O77,"L")</f>
        <v>0</v>
      </c>
      <c r="S76" s="169" t="s">
        <v>34</v>
      </c>
      <c r="T76" s="170">
        <f>COUNTIF(D77:O77,"T")</f>
        <v>0</v>
      </c>
      <c r="U76" s="124">
        <f>IFERROR(VLOOKUP('Tab Summary'!F76,TeamRecord,4,FALSE ),0)</f>
        <v>0</v>
      </c>
      <c r="V76" s="125">
        <f>IFERROR(VLOOKUP('Tab Summary'!I76,TeamRecord,4,FALSE ),0)</f>
        <v>0</v>
      </c>
      <c r="W76" s="126">
        <f>IFERROR(VLOOKUP('Tab Summary'!F76,TeamRecord,6,FALSE ),0)</f>
        <v>0</v>
      </c>
      <c r="X76" s="124">
        <f>IFERROR(VLOOKUP('Tab Summary'!I76,TeamRecord,6,FALSE ),0)</f>
        <v>0</v>
      </c>
      <c r="Y76" s="171">
        <f>IF(COUNTIF('Ballot Entry'!$X$3:$X$221,(P76+(T76/2)))=2,IF((P76+(T76/2))=U76,IF(COUNTIF(D77:F77,"W")&gt;COUNTIF(D77:F77,"L"),F76,0),0)+IF((P76+(T76/2))=V76,IF(COUNTIF(G77:I77,"W")&gt;COUNTIF(G77:I77,"L"),I76,0),0)+IF((P76+(T76/2))=U77,IF(COUNTIF(J77:L77,"W")&gt;COUNTIF(J77:L77,"L"),L76,0),0)+IF((P76+(T76/2))=V77,IF(COUNTIF(M77:O77,"W")&gt;COUNTIF(M77:O77,"L"),O76,0),0),0)</f>
        <v>0</v>
      </c>
      <c r="Z76" s="171" t="str">
        <f>IF(Teams&gt;22,"Show", "Hide")</f>
        <v>Hide</v>
      </c>
      <c r="AA76" s="158"/>
      <c r="AB76" s="158"/>
      <c r="AC76" s="159"/>
      <c r="AD76" s="159"/>
      <c r="AE76" s="158"/>
      <c r="AF76" s="158"/>
      <c r="AG76" s="159"/>
      <c r="AH76" s="159"/>
      <c r="AI76" s="159"/>
      <c r="AJ76" s="159"/>
      <c r="AK76" s="159"/>
      <c r="AL76" s="159"/>
      <c r="AM76" s="159"/>
      <c r="AN76" s="159"/>
      <c r="AO76" s="159"/>
      <c r="AP76" s="159"/>
      <c r="AQ76" s="159"/>
    </row>
    <row r="77" spans="1:43" s="151" customFormat="1" ht="12.75" hidden="1" customHeight="1" x14ac:dyDescent="0.25">
      <c r="A77" s="433">
        <f>'Tournament Info'!B37</f>
        <v>0</v>
      </c>
      <c r="B77" s="434"/>
      <c r="C77" s="435"/>
      <c r="D77" s="172" t="str">
        <f t="shared" ref="D77:O77" si="22">IF(D78="","",IF(D78&gt;0,"W",IF(D78&lt;0,"L",IF(D78=0,"T"))))</f>
        <v/>
      </c>
      <c r="E77" s="173" t="str">
        <f t="shared" si="22"/>
        <v/>
      </c>
      <c r="F77" s="174" t="str">
        <f t="shared" si="22"/>
        <v/>
      </c>
      <c r="G77" s="172" t="str">
        <f t="shared" si="22"/>
        <v/>
      </c>
      <c r="H77" s="173" t="str">
        <f t="shared" si="22"/>
        <v/>
      </c>
      <c r="I77" s="174" t="str">
        <f t="shared" si="22"/>
        <v/>
      </c>
      <c r="J77" s="172" t="str">
        <f t="shared" si="22"/>
        <v/>
      </c>
      <c r="K77" s="173" t="str">
        <f t="shared" si="22"/>
        <v/>
      </c>
      <c r="L77" s="174" t="str">
        <f t="shared" si="22"/>
        <v/>
      </c>
      <c r="M77" s="172" t="str">
        <f t="shared" si="22"/>
        <v/>
      </c>
      <c r="N77" s="173" t="str">
        <f t="shared" si="22"/>
        <v/>
      </c>
      <c r="O77" s="174" t="str">
        <f t="shared" si="22"/>
        <v/>
      </c>
      <c r="P77" s="175" t="s">
        <v>35</v>
      </c>
      <c r="Q77" s="176"/>
      <c r="R77" s="176" t="s">
        <v>36</v>
      </c>
      <c r="S77" s="176"/>
      <c r="T77" s="177" t="s">
        <v>31</v>
      </c>
      <c r="U77" s="127">
        <f>IFERROR(VLOOKUP('Tab Summary'!L76,TeamRecord,4,FALSE ),0)</f>
        <v>0</v>
      </c>
      <c r="V77" s="128">
        <f>IFERROR(VLOOKUP('Tab Summary'!O76,TeamRecord,4,FALSE ),0)</f>
        <v>0</v>
      </c>
      <c r="W77" s="129">
        <f>IFERROR(VLOOKUP('Tab Summary'!L76,TeamRecord,6,FALSE ),0)</f>
        <v>0</v>
      </c>
      <c r="X77" s="127">
        <f>IFERROR(VLOOKUP('Tab Summary'!O76,TeamRecord,6,FALSE ),0)</f>
        <v>0</v>
      </c>
      <c r="Y77" s="171">
        <f>IF(Y76&lt;&gt;0,(IF(COUNTIF('Ballot Entry'!$Z$3:$Z$35,'Tab Summary'!P78)=2,IF(P78=W76,IF(COUNTIF(D77:F77,"W")&gt;COUNTIF(D77:F77,"L"),1,0),0)+IF(P78=X76,IF(COUNTIF(G77:I77,"W")&gt;COUNTIF(G77:I77,"L"),1,0),0)+IF(P78=W77,IF(COUNTIF(J77:L77,"W")&gt;COUNTIF(J77:L77,"L"),1,0),0)+IF(P78=X77,IF(COUNTIF(M77:O77,"W")&gt;COUNTIF(M77:O77,"L"),1,0),0),0)),0)</f>
        <v>0</v>
      </c>
      <c r="Z77" s="171" t="str">
        <f>IF(Teams&gt;22,"Show", "Hide")</f>
        <v>Hide</v>
      </c>
      <c r="AA77" s="158"/>
      <c r="AB77" s="158"/>
      <c r="AC77" s="159"/>
      <c r="AD77" s="159"/>
      <c r="AE77" s="158"/>
      <c r="AF77" s="158"/>
      <c r="AG77" s="159"/>
      <c r="AH77" s="159"/>
      <c r="AI77" s="159"/>
      <c r="AJ77" s="159"/>
      <c r="AK77" s="159"/>
      <c r="AL77" s="159"/>
      <c r="AM77" s="159"/>
      <c r="AN77" s="159"/>
      <c r="AO77" s="159"/>
      <c r="AP77" s="159"/>
      <c r="AQ77" s="159"/>
    </row>
    <row r="78" spans="1:43" s="151" customFormat="1" ht="13.5" hidden="1" customHeight="1" thickBot="1" x14ac:dyDescent="0.3">
      <c r="A78" s="436"/>
      <c r="B78" s="437"/>
      <c r="C78" s="438"/>
      <c r="D78" s="178" t="str">
        <f>IFERROR(IF(D76="Π",VLOOKUP($A76, Round1P,3,FALSE),VLOOKUP($A76,Round1D,3,FALSE)),"")</f>
        <v/>
      </c>
      <c r="E78" s="179" t="str">
        <f>IFERROR(IF(Ballots=3,IF(D76="Π",VLOOKUP($A76, Round1P,5,FALSE),VLOOKUP($A76,Round1D,5,FALSE)),""),"")</f>
        <v/>
      </c>
      <c r="F78" s="180" t="str">
        <f>IFERROR(IF(D76="Π",VLOOKUP($A76, Round1P,4,FALSE),VLOOKUP($A76,Round1D,4,FALSE)),"")</f>
        <v/>
      </c>
      <c r="G78" s="178" t="str">
        <f>IFERROR(IF(G76="Π",VLOOKUP($A76, Round2P,3,FALSE),VLOOKUP($A76,Round2D,3,FALSE)),"")</f>
        <v/>
      </c>
      <c r="H78" s="179" t="str">
        <f>IFERROR(IF(Ballots=3,IF(G76="Π",VLOOKUP($A76, Round2P,5,FALSE),VLOOKUP($A76,Round2D,5,FALSE)),""),"")</f>
        <v/>
      </c>
      <c r="I78" s="180" t="str">
        <f>IFERROR(IF(G76="Π",VLOOKUP($A76, Round2P,4,FALSE),VLOOKUP($A76,Round2D,4,FALSE)),"")</f>
        <v/>
      </c>
      <c r="J78" s="178" t="str">
        <f>IFERROR(IF(J76="Π",VLOOKUP($A76, Round3P,3,FALSE),VLOOKUP($A76,Round3D,3,FALSE)),"")</f>
        <v/>
      </c>
      <c r="K78" s="179" t="str">
        <f>IFERROR(IF(Ballots=3,IF(J76="Π",VLOOKUP($A76, Round3P,5,FALSE),VLOOKUP($A76,Round3D,5,FALSE)),""),"")</f>
        <v/>
      </c>
      <c r="L78" s="180" t="str">
        <f>IFERROR(IF(J76="Π",VLOOKUP($A76, Round3P,4,FALSE),VLOOKUP($A76,Round3D,4,FALSE)),"")</f>
        <v/>
      </c>
      <c r="M78" s="178" t="str">
        <f>IFERROR(IF(M76="Π",VLOOKUP($A76, Round4P,3,FALSE),VLOOKUP($A76,Round4D,3,FALSE)),"")</f>
        <v/>
      </c>
      <c r="N78" s="179" t="str">
        <f>IFERROR(IF(Ballots=3,IF(M76="Π",VLOOKUP($A76, Round4P,5,FALSE),VLOOKUP($A76,Round4D,5,FALSE)),""),"")</f>
        <v/>
      </c>
      <c r="O78" s="180" t="str">
        <f>IFERROR(IF(M76="Π",VLOOKUP($A76, Round4P,4,FALSE),VLOOKUP($A76,Round4D,4,FALSE)),"")</f>
        <v/>
      </c>
      <c r="P78" s="181">
        <f>'Tab Summary'!U76+'Tab Summary'!V76+'Tab Summary'!U77+'Tab Summary'!V77</f>
        <v>0</v>
      </c>
      <c r="Q78" s="182"/>
      <c r="R78" s="183">
        <f>SUM('Tab Summary'!W76:X77)</f>
        <v>0</v>
      </c>
      <c r="S78" s="184"/>
      <c r="T78" s="185">
        <f>SUM(D78:O78)</f>
        <v>0</v>
      </c>
      <c r="U78" s="130" t="s">
        <v>67</v>
      </c>
      <c r="V78" s="131">
        <f>IF(D76="Π",COUNTIF(D77:F77,"W"),0)+IF(G76="Π",COUNTIF(G77:I77,"W"),0)+IF(J76="Π",COUNTIF(J77:L77,"W"),0)+IF(M76="Π",COUNTIF(M77:O77,"W"),0)</f>
        <v>0</v>
      </c>
      <c r="W78" s="132" t="s">
        <v>68</v>
      </c>
      <c r="X78" s="130">
        <f>IF(D76="Δ",COUNTIF(D77:F77,"W"),0)+IF(G76="Δ",COUNTIF(G77:I77,"W"),0)+IF(J76="Δ",COUNTIF(J77:L77,"W"),0)+IF(M76="Δ",COUNTIF(M77:O77,"W"),0)</f>
        <v>0</v>
      </c>
      <c r="Y78" s="171"/>
      <c r="Z78" s="171" t="str">
        <f>IF(Teams&gt;22,"Show", "Hide")</f>
        <v>Hide</v>
      </c>
      <c r="AA78" s="158"/>
      <c r="AB78" s="158"/>
      <c r="AC78" s="159"/>
      <c r="AD78" s="159"/>
      <c r="AE78" s="158"/>
      <c r="AF78" s="158"/>
      <c r="AG78" s="159"/>
      <c r="AH78" s="159"/>
      <c r="AI78" s="159"/>
      <c r="AJ78" s="159"/>
      <c r="AK78" s="159"/>
      <c r="AL78" s="159"/>
      <c r="AM78" s="159"/>
      <c r="AN78" s="159"/>
      <c r="AO78" s="159"/>
      <c r="AP78" s="159"/>
      <c r="AQ78" s="159"/>
    </row>
    <row r="79" spans="1:43" s="151" customFormat="1" ht="13.5" hidden="1" x14ac:dyDescent="0.25">
      <c r="A79" s="439">
        <f>'Tournament Info'!C38</f>
        <v>0</v>
      </c>
      <c r="B79" s="440"/>
      <c r="C79" s="441"/>
      <c r="D79" s="186" t="str">
        <f>IF(COUNTIF('Ballot Entry'!$M$3:$M$37,$A79)=1,"Π",IF(COUNTIF('Ballot Entry'!$N$3:$N$37,$A79)=1,"Δ",""))</f>
        <v/>
      </c>
      <c r="E79" s="187" t="s">
        <v>30</v>
      </c>
      <c r="F79" s="188" t="str">
        <f>IFERROR(IF(D79="Π",VLOOKUP($A79, Round1P,2,FALSE),VLOOKUP($A79,Round1D,2,FALSE)),"")</f>
        <v/>
      </c>
      <c r="G79" s="186" t="str">
        <f>IF(COUNTIF('Ballot Entry'!$M$109:$M$143,$A79)=1,"Π",IF(COUNTIF('Ballot Entry'!$N$109:$N$143,$A79)=1,"Δ",""))</f>
        <v/>
      </c>
      <c r="H79" s="187" t="s">
        <v>30</v>
      </c>
      <c r="I79" s="188" t="str">
        <f>IFERROR(IF(G79="Π",VLOOKUP($A79, Round2P,2,FALSE),VLOOKUP($A79,Round2D,2,FALSE)),"")</f>
        <v/>
      </c>
      <c r="J79" s="186" t="str">
        <f>IF(COUNTIF('Ballot Entry'!$M$215:$M$249,$A79)=1,"Π",IF(COUNTIF('Ballot Entry'!$N$215:$N$249,$A79)=1,"Δ",""))</f>
        <v/>
      </c>
      <c r="K79" s="187" t="s">
        <v>30</v>
      </c>
      <c r="L79" s="188" t="str">
        <f>IFERROR(IF(J79="Π",VLOOKUP($A79, Round3P,2,FALSE),VLOOKUP($A79,Round3D,2,FALSE)),"")</f>
        <v/>
      </c>
      <c r="M79" s="186" t="str">
        <f>IF(COUNTIF('Ballot Entry'!$M$321:$M$355,$A79)=1,"Π",IF(COUNTIF('Ballot Entry'!$N$321:$N$355,$A79)=1,"Δ",""))</f>
        <v/>
      </c>
      <c r="N79" s="187" t="s">
        <v>30</v>
      </c>
      <c r="O79" s="188" t="str">
        <f>IFERROR(IF(M79="Π",VLOOKUP($A79, Round4P,2,FALSE),VLOOKUP($A79,Round4D,2,FALSE)),"")</f>
        <v/>
      </c>
      <c r="P79" s="189">
        <f>COUNTIF(D80:O80,"W")</f>
        <v>0</v>
      </c>
      <c r="Q79" s="190" t="s">
        <v>34</v>
      </c>
      <c r="R79" s="191">
        <f>COUNTIF(D80:O80,"L")</f>
        <v>0</v>
      </c>
      <c r="S79" s="192" t="s">
        <v>34</v>
      </c>
      <c r="T79" s="193">
        <f>COUNTIF(D80:O80,"T")</f>
        <v>0</v>
      </c>
      <c r="U79" s="124">
        <f>IFERROR(VLOOKUP('Tab Summary'!F79,TeamRecord,4,FALSE ),0)</f>
        <v>0</v>
      </c>
      <c r="V79" s="125">
        <f>IFERROR(VLOOKUP('Tab Summary'!I79,TeamRecord,4,FALSE ),0)</f>
        <v>0</v>
      </c>
      <c r="W79" s="126">
        <f>IFERROR(VLOOKUP('Tab Summary'!F79,TeamRecord,6,FALSE ),0)</f>
        <v>0</v>
      </c>
      <c r="X79" s="124">
        <f>IFERROR(VLOOKUP('Tab Summary'!I79,TeamRecord,6,FALSE ),0)</f>
        <v>0</v>
      </c>
      <c r="Y79" s="171">
        <f>IF(COUNTIF('Ballot Entry'!$X$3:$X$221,(P79+(T79/2)))=2,IF((P79+(T79/2))=U79,IF(COUNTIF(D80:F80,"W")&gt;COUNTIF(D80:F80,"L"),F79,0),0)+IF((P79+(T79/2))=V79,IF(COUNTIF(G80:I80,"W")&gt;COUNTIF(G80:I80,"L"),I79,0),0)+IF((P79+(T79/2))=U80,IF(COUNTIF(J80:L80,"W")&gt;COUNTIF(J80:L80,"L"),L79,0),0)+IF((P79+(T79/2))=V80,IF(COUNTIF(M80:O80,"W")&gt;COUNTIF(M80:O80,"L"),O79,0),0),0)</f>
        <v>0</v>
      </c>
      <c r="Z79" s="171" t="str">
        <f>IF(Teams&gt;23,"Show", "Hide")</f>
        <v>Hide</v>
      </c>
      <c r="AA79" s="158"/>
      <c r="AB79" s="158"/>
      <c r="AC79" s="159"/>
      <c r="AD79" s="159"/>
      <c r="AE79" s="158"/>
      <c r="AF79" s="158"/>
      <c r="AG79" s="159"/>
      <c r="AH79" s="159"/>
      <c r="AI79" s="159"/>
      <c r="AJ79" s="159"/>
      <c r="AK79" s="159"/>
      <c r="AL79" s="159"/>
      <c r="AM79" s="159"/>
      <c r="AN79" s="159"/>
      <c r="AO79" s="159"/>
      <c r="AP79" s="159"/>
      <c r="AQ79" s="159"/>
    </row>
    <row r="80" spans="1:43" s="151" customFormat="1" ht="12.75" hidden="1" customHeight="1" x14ac:dyDescent="0.25">
      <c r="A80" s="424">
        <f>'Tournament Info'!B38</f>
        <v>0</v>
      </c>
      <c r="B80" s="425"/>
      <c r="C80" s="426"/>
      <c r="D80" s="194" t="str">
        <f t="shared" ref="D80:O80" si="23">IF(D81="","",IF(D81&gt;0,"W",IF(D81&lt;0,"L",IF(D81=0,"T"))))</f>
        <v/>
      </c>
      <c r="E80" s="195" t="str">
        <f t="shared" si="23"/>
        <v/>
      </c>
      <c r="F80" s="196" t="str">
        <f t="shared" si="23"/>
        <v/>
      </c>
      <c r="G80" s="194" t="str">
        <f t="shared" si="23"/>
        <v/>
      </c>
      <c r="H80" s="195" t="str">
        <f t="shared" si="23"/>
        <v/>
      </c>
      <c r="I80" s="196" t="str">
        <f t="shared" si="23"/>
        <v/>
      </c>
      <c r="J80" s="194" t="str">
        <f t="shared" si="23"/>
        <v/>
      </c>
      <c r="K80" s="195" t="str">
        <f t="shared" si="23"/>
        <v/>
      </c>
      <c r="L80" s="196" t="str">
        <f t="shared" si="23"/>
        <v/>
      </c>
      <c r="M80" s="194" t="str">
        <f t="shared" si="23"/>
        <v/>
      </c>
      <c r="N80" s="195" t="str">
        <f t="shared" si="23"/>
        <v/>
      </c>
      <c r="O80" s="196" t="str">
        <f t="shared" si="23"/>
        <v/>
      </c>
      <c r="P80" s="197" t="s">
        <v>35</v>
      </c>
      <c r="Q80" s="198"/>
      <c r="R80" s="198" t="s">
        <v>36</v>
      </c>
      <c r="S80" s="198"/>
      <c r="T80" s="199" t="s">
        <v>31</v>
      </c>
      <c r="U80" s="127">
        <f>IFERROR(VLOOKUP('Tab Summary'!L79,TeamRecord,4,FALSE ),0)</f>
        <v>0</v>
      </c>
      <c r="V80" s="128">
        <f>IFERROR(VLOOKUP('Tab Summary'!O79,TeamRecord,4,FALSE ),0)</f>
        <v>0</v>
      </c>
      <c r="W80" s="129">
        <f>IFERROR(VLOOKUP('Tab Summary'!L79,TeamRecord,6,FALSE ),0)</f>
        <v>0</v>
      </c>
      <c r="X80" s="127">
        <f>IFERROR(VLOOKUP('Tab Summary'!O79,TeamRecord,6,FALSE ),0)</f>
        <v>0</v>
      </c>
      <c r="Y80" s="171">
        <f>IF(Y79&lt;&gt;0,(IF(COUNTIF('Ballot Entry'!$Z$3:$Z$35,'Tab Summary'!P81)=2,IF(P81=W79,IF(COUNTIF(D80:F80,"W")&gt;COUNTIF(D80:F80,"L"),1,0),0)+IF(P81=X79,IF(COUNTIF(G80:I80,"W")&gt;COUNTIF(G80:I80,"L"),1,0),0)+IF(P81=W80,IF(COUNTIF(J80:L80,"W")&gt;COUNTIF(J80:L80,"L"),1,0),0)+IF(P81=X80,IF(COUNTIF(M80:O80,"W")&gt;COUNTIF(M80:O80,"L"),1,0),0),0)),0)</f>
        <v>0</v>
      </c>
      <c r="Z80" s="171" t="str">
        <f>IF(Teams&gt;23,"Show", "Hide")</f>
        <v>Hide</v>
      </c>
      <c r="AA80" s="158"/>
      <c r="AB80" s="158"/>
      <c r="AC80" s="159"/>
      <c r="AD80" s="159"/>
      <c r="AE80" s="158"/>
      <c r="AF80" s="158"/>
      <c r="AG80" s="159"/>
      <c r="AH80" s="159"/>
      <c r="AI80" s="159"/>
      <c r="AJ80" s="159"/>
      <c r="AK80" s="159"/>
      <c r="AL80" s="159"/>
      <c r="AM80" s="159"/>
      <c r="AN80" s="159"/>
      <c r="AO80" s="159"/>
      <c r="AP80" s="159"/>
      <c r="AQ80" s="159"/>
    </row>
    <row r="81" spans="1:43" s="151" customFormat="1" ht="13.5" hidden="1" customHeight="1" thickBot="1" x14ac:dyDescent="0.3">
      <c r="A81" s="427"/>
      <c r="B81" s="428"/>
      <c r="C81" s="429"/>
      <c r="D81" s="200" t="str">
        <f>IFERROR(IF(D79="Π",VLOOKUP($A79, Round1P,3,FALSE),VLOOKUP($A79,Round1D,3,FALSE)),"")</f>
        <v/>
      </c>
      <c r="E81" s="201" t="str">
        <f>IFERROR(IF(Ballots=3,IF(D79="Π",VLOOKUP($A79, Round1P,5,FALSE),VLOOKUP($A79,Round1D,5,FALSE)),""),"")</f>
        <v/>
      </c>
      <c r="F81" s="202" t="str">
        <f>IFERROR(IF(D79="Π",VLOOKUP($A79, Round1P,4,FALSE),VLOOKUP($A79,Round1D,4,FALSE)),"")</f>
        <v/>
      </c>
      <c r="G81" s="200" t="str">
        <f>IFERROR(IF(G79="Π",VLOOKUP($A79, Round2P,3,FALSE),VLOOKUP($A79,Round2D,3,FALSE)),"")</f>
        <v/>
      </c>
      <c r="H81" s="201" t="str">
        <f>IFERROR(IF(Ballots=3,IF(G79="Π",VLOOKUP($A79, Round2P,5,FALSE),VLOOKUP($A79,Round2D,5,FALSE)),""),"")</f>
        <v/>
      </c>
      <c r="I81" s="202" t="str">
        <f>IFERROR(IF(G79="Π",VLOOKUP($A79, Round2P,4,FALSE),VLOOKUP($A79,Round2D,4,FALSE)),"")</f>
        <v/>
      </c>
      <c r="J81" s="200" t="str">
        <f>IFERROR(IF(J79="Π",VLOOKUP($A79, Round3P,3,FALSE),VLOOKUP($A79,Round3D,3,FALSE)),"")</f>
        <v/>
      </c>
      <c r="K81" s="201" t="str">
        <f>IFERROR(IF(Ballots=3,IF(J79="Π",VLOOKUP($A79, Round3P,5,FALSE),VLOOKUP($A79,Round3D,5,FALSE)),""),"")</f>
        <v/>
      </c>
      <c r="L81" s="202" t="str">
        <f>IFERROR(IF(J79="Π",VLOOKUP($A79, Round3P,4,FALSE),VLOOKUP($A79,Round3D,4,FALSE)),"")</f>
        <v/>
      </c>
      <c r="M81" s="200" t="str">
        <f>IFERROR(IF(M79="Π",VLOOKUP($A79, Round4P,3,FALSE),VLOOKUP($A79,Round4D,3,FALSE)),"")</f>
        <v/>
      </c>
      <c r="N81" s="201" t="str">
        <f>IFERROR(IF(Ballots=3,IF(M79="Π",VLOOKUP($A79, Round4P,5,FALSE),VLOOKUP($A79,Round4D,5,FALSE)),""),"")</f>
        <v/>
      </c>
      <c r="O81" s="202" t="str">
        <f>IFERROR(IF(M79="Π",VLOOKUP($A79, Round4P,4,FALSE),VLOOKUP($A79,Round4D,4,FALSE)),"")</f>
        <v/>
      </c>
      <c r="P81" s="203">
        <f>'Tab Summary'!U79+'Tab Summary'!V79+'Tab Summary'!U80+'Tab Summary'!V80</f>
        <v>0</v>
      </c>
      <c r="Q81" s="204"/>
      <c r="R81" s="205">
        <f>SUM('Tab Summary'!W79:X80)</f>
        <v>0</v>
      </c>
      <c r="S81" s="206"/>
      <c r="T81" s="207">
        <f>SUM(D81:O81)</f>
        <v>0</v>
      </c>
      <c r="U81" s="130" t="s">
        <v>67</v>
      </c>
      <c r="V81" s="131">
        <f>IF(D79="Π",COUNTIF(D80:F80,"W"),0)+IF(G79="Π",COUNTIF(G80:I80,"W"),0)+IF(J79="Π",COUNTIF(J80:L80,"W"),0)+IF(M79="Π",COUNTIF(M80:O80,"W"),0)</f>
        <v>0</v>
      </c>
      <c r="W81" s="132" t="s">
        <v>68</v>
      </c>
      <c r="X81" s="130">
        <f>IF(D79="Δ",COUNTIF(D80:F80,"W"),0)+IF(G79="Δ",COUNTIF(G80:I80,"W"),0)+IF(J79="Δ",COUNTIF(J80:L80,"W"),0)+IF(M79="Δ",COUNTIF(M80:O80,"W"),0)</f>
        <v>0</v>
      </c>
      <c r="Y81" s="171"/>
      <c r="Z81" s="171" t="str">
        <f>IF(Teams&gt;23,"Show", "Hide")</f>
        <v>Hide</v>
      </c>
      <c r="AA81" s="158"/>
      <c r="AB81" s="158"/>
      <c r="AC81" s="159"/>
      <c r="AD81" s="159"/>
      <c r="AE81" s="158"/>
      <c r="AF81" s="158"/>
      <c r="AG81" s="159"/>
      <c r="AH81" s="159"/>
      <c r="AI81" s="159"/>
      <c r="AJ81" s="159"/>
      <c r="AK81" s="159"/>
      <c r="AL81" s="159"/>
      <c r="AM81" s="159"/>
      <c r="AN81" s="159"/>
      <c r="AO81" s="159"/>
      <c r="AP81" s="159"/>
      <c r="AQ81" s="159"/>
    </row>
    <row r="82" spans="1:43" s="151" customFormat="1" ht="13.5" hidden="1" x14ac:dyDescent="0.25">
      <c r="A82" s="430">
        <f>'Tournament Info'!C39</f>
        <v>0</v>
      </c>
      <c r="B82" s="431"/>
      <c r="C82" s="432"/>
      <c r="D82" s="163" t="str">
        <f>IF(COUNTIF('Ballot Entry'!$M$3:$M$37,$A82)=1,"Π",IF(COUNTIF('Ballot Entry'!$N$3:$N$37,$A82)=1,"Δ",""))</f>
        <v/>
      </c>
      <c r="E82" s="164" t="s">
        <v>30</v>
      </c>
      <c r="F82" s="165" t="str">
        <f>IFERROR(IF(D82="Π",VLOOKUP($A82, Round1P,2,FALSE),VLOOKUP($A82,Round1D,2,FALSE)),"")</f>
        <v/>
      </c>
      <c r="G82" s="163" t="str">
        <f>IF(COUNTIF('Ballot Entry'!$M$109:$M$143,$A82)=1,"Π",IF(COUNTIF('Ballot Entry'!$N$109:$N$143,$A82)=1,"Δ",""))</f>
        <v/>
      </c>
      <c r="H82" s="164" t="s">
        <v>30</v>
      </c>
      <c r="I82" s="165" t="str">
        <f>IFERROR(IF(G82="Π",VLOOKUP($A82, Round2P,2,FALSE),VLOOKUP($A82,Round2D,2,FALSE)),"")</f>
        <v/>
      </c>
      <c r="J82" s="163" t="str">
        <f>IF(COUNTIF('Ballot Entry'!$M$215:$M$249,$A82)=1,"Π",IF(COUNTIF('Ballot Entry'!$N$215:$N$249,$A82)=1,"Δ",""))</f>
        <v/>
      </c>
      <c r="K82" s="164" t="s">
        <v>30</v>
      </c>
      <c r="L82" s="165" t="str">
        <f>IFERROR(IF(J82="Π",VLOOKUP($A82, Round3P,2,FALSE),VLOOKUP($A82,Round3D,2,FALSE)),"")</f>
        <v/>
      </c>
      <c r="M82" s="163" t="str">
        <f>IF(COUNTIF('Ballot Entry'!$M$321:$M$355,$A82)=1,"Π",IF(COUNTIF('Ballot Entry'!$N$321:$N$355,$A82)=1,"Δ",""))</f>
        <v/>
      </c>
      <c r="N82" s="164" t="s">
        <v>30</v>
      </c>
      <c r="O82" s="165" t="str">
        <f>IFERROR(IF(M82="Π",VLOOKUP($A82, Round4P,2,FALSE),VLOOKUP($A82,Round4D,2,FALSE)),"")</f>
        <v/>
      </c>
      <c r="P82" s="166">
        <f>COUNTIF(D83:O83,"W")</f>
        <v>0</v>
      </c>
      <c r="Q82" s="167" t="s">
        <v>34</v>
      </c>
      <c r="R82" s="168">
        <f>COUNTIF(D83:O83,"L")</f>
        <v>0</v>
      </c>
      <c r="S82" s="169" t="s">
        <v>34</v>
      </c>
      <c r="T82" s="170">
        <f>COUNTIF(D83:O83,"T")</f>
        <v>0</v>
      </c>
      <c r="U82" s="124">
        <f>IFERROR(VLOOKUP('Tab Summary'!F82,TeamRecord,4,FALSE ),0)</f>
        <v>0</v>
      </c>
      <c r="V82" s="125">
        <f>IFERROR(VLOOKUP('Tab Summary'!I82,TeamRecord,4,FALSE ),0)</f>
        <v>0</v>
      </c>
      <c r="W82" s="126">
        <f>IFERROR(VLOOKUP('Tab Summary'!F82,TeamRecord,6,FALSE ),0)</f>
        <v>0</v>
      </c>
      <c r="X82" s="124">
        <f>IFERROR(VLOOKUP('Tab Summary'!I82,TeamRecord,6,FALSE ),0)</f>
        <v>0</v>
      </c>
      <c r="Y82" s="171">
        <f>IF(COUNTIF('Ballot Entry'!$X$3:$X$221,(P82+(T82/2)))=2,IF((P82+(T82/2))=U82,IF(COUNTIF(D83:F83,"W")&gt;COUNTIF(D83:F83,"L"),F82,0),0)+IF((P82+(T82/2))=V82,IF(COUNTIF(G83:I83,"W")&gt;COUNTIF(G83:I83,"L"),I82,0),0)+IF((P82+(T82/2))=U83,IF(COUNTIF(J83:L83,"W")&gt;COUNTIF(J83:L83,"L"),L82,0),0)+IF((P82+(T82/2))=V83,IF(COUNTIF(M83:O83,"W")&gt;COUNTIF(M83:O83,"L"),O82,0),0),0)</f>
        <v>0</v>
      </c>
      <c r="Z82" s="171" t="str">
        <f>IF(Teams&gt;24,"Show", "Hide")</f>
        <v>Hide</v>
      </c>
      <c r="AA82" s="158"/>
      <c r="AB82" s="158"/>
      <c r="AC82" s="159"/>
      <c r="AD82" s="159"/>
      <c r="AE82" s="158"/>
      <c r="AF82" s="158"/>
      <c r="AG82" s="159"/>
      <c r="AH82" s="159"/>
      <c r="AI82" s="159"/>
      <c r="AJ82" s="159"/>
      <c r="AK82" s="159"/>
      <c r="AL82" s="159"/>
      <c r="AM82" s="159"/>
      <c r="AN82" s="159"/>
      <c r="AO82" s="159"/>
      <c r="AP82" s="159"/>
      <c r="AQ82" s="159"/>
    </row>
    <row r="83" spans="1:43" s="151" customFormat="1" ht="12.75" hidden="1" customHeight="1" x14ac:dyDescent="0.25">
      <c r="A83" s="433">
        <f>'Tournament Info'!B39</f>
        <v>0</v>
      </c>
      <c r="B83" s="434"/>
      <c r="C83" s="435"/>
      <c r="D83" s="172" t="str">
        <f t="shared" ref="D83:O83" si="24">IF(D84="","",IF(D84&gt;0,"W",IF(D84&lt;0,"L",IF(D84=0,"T"))))</f>
        <v/>
      </c>
      <c r="E83" s="173" t="str">
        <f t="shared" si="24"/>
        <v/>
      </c>
      <c r="F83" s="174" t="str">
        <f t="shared" si="24"/>
        <v/>
      </c>
      <c r="G83" s="172" t="str">
        <f t="shared" si="24"/>
        <v/>
      </c>
      <c r="H83" s="173" t="str">
        <f t="shared" si="24"/>
        <v/>
      </c>
      <c r="I83" s="174" t="str">
        <f t="shared" si="24"/>
        <v/>
      </c>
      <c r="J83" s="172" t="str">
        <f t="shared" si="24"/>
        <v/>
      </c>
      <c r="K83" s="173" t="str">
        <f t="shared" si="24"/>
        <v/>
      </c>
      <c r="L83" s="174" t="str">
        <f t="shared" si="24"/>
        <v/>
      </c>
      <c r="M83" s="172" t="str">
        <f t="shared" si="24"/>
        <v/>
      </c>
      <c r="N83" s="173" t="str">
        <f t="shared" si="24"/>
        <v/>
      </c>
      <c r="O83" s="174" t="str">
        <f t="shared" si="24"/>
        <v/>
      </c>
      <c r="P83" s="175" t="s">
        <v>35</v>
      </c>
      <c r="Q83" s="176"/>
      <c r="R83" s="176" t="s">
        <v>36</v>
      </c>
      <c r="S83" s="176"/>
      <c r="T83" s="177" t="s">
        <v>31</v>
      </c>
      <c r="U83" s="127">
        <f>IFERROR(VLOOKUP('Tab Summary'!L82,TeamRecord,4,FALSE ),0)</f>
        <v>0</v>
      </c>
      <c r="V83" s="128">
        <f>IFERROR(VLOOKUP('Tab Summary'!O82,TeamRecord,4,FALSE ),0)</f>
        <v>0</v>
      </c>
      <c r="W83" s="129">
        <f>IFERROR(VLOOKUP('Tab Summary'!L82,TeamRecord,6,FALSE ),0)</f>
        <v>0</v>
      </c>
      <c r="X83" s="127">
        <f>IFERROR(VLOOKUP('Tab Summary'!O82,TeamRecord,6,FALSE ),0)</f>
        <v>0</v>
      </c>
      <c r="Y83" s="171">
        <f>IF(Y82&lt;&gt;0,(IF(COUNTIF('Ballot Entry'!$Z$3:$Z$35,'Tab Summary'!P84)=2,IF(P84=W82,IF(COUNTIF(D83:F83,"W")&gt;COUNTIF(D83:F83,"L"),1,0),0)+IF(P84=X82,IF(COUNTIF(G83:I83,"W")&gt;COUNTIF(G83:I83,"L"),1,0),0)+IF(P84=W83,IF(COUNTIF(J83:L83,"W")&gt;COUNTIF(J83:L83,"L"),1,0),0)+IF(P84=X83,IF(COUNTIF(M83:O83,"W")&gt;COUNTIF(M83:O83,"L"),1,0),0),0)),0)</f>
        <v>0</v>
      </c>
      <c r="Z83" s="171" t="str">
        <f>IF(Teams&gt;24,"Show", "Hide")</f>
        <v>Hide</v>
      </c>
      <c r="AA83" s="158"/>
      <c r="AB83" s="158"/>
      <c r="AC83" s="159"/>
      <c r="AD83" s="159"/>
      <c r="AE83" s="158"/>
      <c r="AF83" s="158"/>
      <c r="AG83" s="159"/>
      <c r="AH83" s="159"/>
      <c r="AI83" s="159"/>
      <c r="AJ83" s="159"/>
      <c r="AK83" s="159"/>
      <c r="AL83" s="159"/>
      <c r="AM83" s="159"/>
      <c r="AN83" s="159"/>
      <c r="AO83" s="159"/>
      <c r="AP83" s="159"/>
      <c r="AQ83" s="159"/>
    </row>
    <row r="84" spans="1:43" s="151" customFormat="1" ht="13.5" hidden="1" customHeight="1" thickBot="1" x14ac:dyDescent="0.3">
      <c r="A84" s="436"/>
      <c r="B84" s="437"/>
      <c r="C84" s="438"/>
      <c r="D84" s="178" t="str">
        <f>IFERROR(IF(D82="Π",VLOOKUP($A82, Round1P,3,FALSE),VLOOKUP($A82,Round1D,3,FALSE)),"")</f>
        <v/>
      </c>
      <c r="E84" s="179" t="str">
        <f>IFERROR(IF(Ballots=3,IF(D82="Π",VLOOKUP($A82, Round1P,5,FALSE),VLOOKUP($A82,Round1D,5,FALSE)),""),"")</f>
        <v/>
      </c>
      <c r="F84" s="180" t="str">
        <f>IFERROR(IF(D82="Π",VLOOKUP($A82, Round1P,4,FALSE),VLOOKUP($A82,Round1D,4,FALSE)),"")</f>
        <v/>
      </c>
      <c r="G84" s="178" t="str">
        <f>IFERROR(IF(G82="Π",VLOOKUP($A82, Round2P,3,FALSE),VLOOKUP($A82,Round2D,3,FALSE)),"")</f>
        <v/>
      </c>
      <c r="H84" s="179" t="str">
        <f>IFERROR(IF(Ballots=3,IF(G82="Π",VLOOKUP($A82, Round2P,5,FALSE),VLOOKUP($A82,Round2D,5,FALSE)),""),"")</f>
        <v/>
      </c>
      <c r="I84" s="180" t="str">
        <f>IFERROR(IF(G82="Π",VLOOKUP($A82, Round2P,4,FALSE),VLOOKUP($A82,Round2D,4,FALSE)),"")</f>
        <v/>
      </c>
      <c r="J84" s="178" t="str">
        <f>IFERROR(IF(J82="Π",VLOOKUP($A82, Round3P,3,FALSE),VLOOKUP($A82,Round3D,3,FALSE)),"")</f>
        <v/>
      </c>
      <c r="K84" s="179" t="str">
        <f>IFERROR(IF(Ballots=3,IF(J82="Π",VLOOKUP($A82, Round3P,5,FALSE),VLOOKUP($A82,Round3D,5,FALSE)),""),"")</f>
        <v/>
      </c>
      <c r="L84" s="180" t="str">
        <f>IFERROR(IF(J82="Π",VLOOKUP($A82, Round3P,4,FALSE),VLOOKUP($A82,Round3D,4,FALSE)),"")</f>
        <v/>
      </c>
      <c r="M84" s="178" t="str">
        <f>IFERROR(IF(M82="Π",VLOOKUP($A82, Round4P,3,FALSE),VLOOKUP($A82,Round4D,3,FALSE)),"")</f>
        <v/>
      </c>
      <c r="N84" s="179" t="str">
        <f>IFERROR(IF(Ballots=3,IF(M82="Π",VLOOKUP($A82, Round4P,5,FALSE),VLOOKUP($A82,Round4D,5,FALSE)),""),"")</f>
        <v/>
      </c>
      <c r="O84" s="180" t="str">
        <f>IFERROR(IF(M82="Π",VLOOKUP($A82, Round4P,4,FALSE),VLOOKUP($A82,Round4D,4,FALSE)),"")</f>
        <v/>
      </c>
      <c r="P84" s="181">
        <f>'Tab Summary'!U82+'Tab Summary'!V82+'Tab Summary'!U83+'Tab Summary'!V83</f>
        <v>0</v>
      </c>
      <c r="Q84" s="182"/>
      <c r="R84" s="183">
        <f>SUM('Tab Summary'!W82:X83)</f>
        <v>0</v>
      </c>
      <c r="S84" s="184"/>
      <c r="T84" s="185">
        <f>SUM(D84:O84)</f>
        <v>0</v>
      </c>
      <c r="U84" s="130" t="s">
        <v>67</v>
      </c>
      <c r="V84" s="131">
        <f>IF(D82="Π",COUNTIF(D83:F83,"W"),0)+IF(G82="Π",COUNTIF(G83:I83,"W"),0)+IF(J82="Π",COUNTIF(J83:L83,"W"),0)+IF(M82="Π",COUNTIF(M83:O83,"W"),0)</f>
        <v>0</v>
      </c>
      <c r="W84" s="132" t="s">
        <v>68</v>
      </c>
      <c r="X84" s="130">
        <f>IF(D82="Δ",COUNTIF(D83:F83,"W"),0)+IF(G82="Δ",COUNTIF(G83:I83,"W"),0)+IF(J82="Δ",COUNTIF(J83:L83,"W"),0)+IF(M82="Δ",COUNTIF(M83:O83,"W"),0)</f>
        <v>0</v>
      </c>
      <c r="Y84" s="171"/>
      <c r="Z84" s="171" t="str">
        <f>IF(Teams&gt;24,"Show", "Hide")</f>
        <v>Hide</v>
      </c>
      <c r="AA84" s="158"/>
      <c r="AB84" s="158"/>
      <c r="AC84" s="159"/>
      <c r="AD84" s="159"/>
      <c r="AE84" s="158"/>
      <c r="AF84" s="158"/>
      <c r="AG84" s="159"/>
      <c r="AH84" s="159"/>
      <c r="AI84" s="159"/>
      <c r="AJ84" s="159"/>
      <c r="AK84" s="159"/>
      <c r="AL84" s="159"/>
      <c r="AM84" s="159"/>
      <c r="AN84" s="159"/>
      <c r="AO84" s="159"/>
      <c r="AP84" s="159"/>
      <c r="AQ84" s="159"/>
    </row>
    <row r="85" spans="1:43" s="151" customFormat="1" ht="13.5" hidden="1" x14ac:dyDescent="0.25">
      <c r="A85" s="439">
        <f>'Tournament Info'!C40</f>
        <v>0</v>
      </c>
      <c r="B85" s="440"/>
      <c r="C85" s="441"/>
      <c r="D85" s="186" t="str">
        <f>IF(COUNTIF('Ballot Entry'!$M$3:$M$37,$A85)=1,"Π",IF(COUNTIF('Ballot Entry'!$N$3:$N$37,$A85)=1,"Δ",""))</f>
        <v/>
      </c>
      <c r="E85" s="187" t="s">
        <v>30</v>
      </c>
      <c r="F85" s="188" t="str">
        <f>IFERROR(IF(D85="Π",VLOOKUP($A85, Round1P,2,FALSE),VLOOKUP($A85,Round1D,2,FALSE)),"")</f>
        <v/>
      </c>
      <c r="G85" s="186" t="str">
        <f>IF(COUNTIF('Ballot Entry'!$M$109:$M$143,$A85)=1,"Π",IF(COUNTIF('Ballot Entry'!$N$109:$N$143,$A85)=1,"Δ",""))</f>
        <v/>
      </c>
      <c r="H85" s="187" t="s">
        <v>30</v>
      </c>
      <c r="I85" s="188" t="str">
        <f>IFERROR(IF(G85="Π",VLOOKUP($A85, Round2P,2,FALSE),VLOOKUP($A85,Round2D,2,FALSE)),"")</f>
        <v/>
      </c>
      <c r="J85" s="186" t="str">
        <f>IF(COUNTIF('Ballot Entry'!$M$215:$M$249,$A85)=1,"Π",IF(COUNTIF('Ballot Entry'!$N$215:$N$249,$A85)=1,"Δ",""))</f>
        <v/>
      </c>
      <c r="K85" s="187" t="s">
        <v>30</v>
      </c>
      <c r="L85" s="188" t="str">
        <f>IFERROR(IF(J85="Π",VLOOKUP($A85, Round3P,2,FALSE),VLOOKUP($A85,Round3D,2,FALSE)),"")</f>
        <v/>
      </c>
      <c r="M85" s="186" t="str">
        <f>IF(COUNTIF('Ballot Entry'!$M$321:$M$355,$A85)=1,"Π",IF(COUNTIF('Ballot Entry'!$N$321:$N$355,$A85)=1,"Δ",""))</f>
        <v/>
      </c>
      <c r="N85" s="187" t="s">
        <v>30</v>
      </c>
      <c r="O85" s="188" t="str">
        <f>IFERROR(IF(M85="Π",VLOOKUP($A85, Round4P,2,FALSE),VLOOKUP($A85,Round4D,2,FALSE)),"")</f>
        <v/>
      </c>
      <c r="P85" s="189">
        <f>COUNTIF(D86:O86,"W")</f>
        <v>0</v>
      </c>
      <c r="Q85" s="190" t="s">
        <v>34</v>
      </c>
      <c r="R85" s="191">
        <f>COUNTIF(D86:O86,"L")</f>
        <v>0</v>
      </c>
      <c r="S85" s="192" t="s">
        <v>34</v>
      </c>
      <c r="T85" s="193">
        <f>COUNTIF(D86:O86,"T")</f>
        <v>0</v>
      </c>
      <c r="U85" s="124">
        <f>IFERROR(VLOOKUP('Tab Summary'!F85,TeamRecord,4,FALSE ),0)</f>
        <v>0</v>
      </c>
      <c r="V85" s="125">
        <f>IFERROR(VLOOKUP('Tab Summary'!I85,TeamRecord,4,FALSE ),0)</f>
        <v>0</v>
      </c>
      <c r="W85" s="126">
        <f>IFERROR(VLOOKUP('Tab Summary'!F85,TeamRecord,6,FALSE ),0)</f>
        <v>0</v>
      </c>
      <c r="X85" s="124">
        <f>IFERROR(VLOOKUP('Tab Summary'!I85,TeamRecord,6,FALSE ),0)</f>
        <v>0</v>
      </c>
      <c r="Y85" s="171">
        <f>IF(COUNTIF('Ballot Entry'!$X$3:$X$221,(P85+(T85/2)))=2,IF((P85+(T85/2))=U85,IF(COUNTIF(D86:F86,"W")&gt;COUNTIF(D86:F86,"L"),F85,0),0)+IF((P85+(T85/2))=V85,IF(COUNTIF(G86:I86,"W")&gt;COUNTIF(G86:I86,"L"),I85,0),0)+IF((P85+(T85/2))=U86,IF(COUNTIF(J86:L86,"W")&gt;COUNTIF(J86:L86,"L"),L85,0),0)+IF((P85+(T85/2))=V86,IF(COUNTIF(M86:O86,"W")&gt;COUNTIF(M86:O86,"L"),O85,0),0),0)</f>
        <v>0</v>
      </c>
      <c r="Z85" s="171" t="str">
        <f>IF(Teams&gt;25,"Show", "Hide")</f>
        <v>Hide</v>
      </c>
      <c r="AA85" s="158"/>
      <c r="AB85" s="158"/>
      <c r="AC85" s="159"/>
      <c r="AD85" s="159"/>
      <c r="AE85" s="158"/>
      <c r="AF85" s="158"/>
      <c r="AG85" s="159"/>
      <c r="AH85" s="159"/>
      <c r="AI85" s="159"/>
      <c r="AJ85" s="159"/>
      <c r="AK85" s="159"/>
      <c r="AL85" s="159"/>
      <c r="AM85" s="159"/>
      <c r="AN85" s="159"/>
      <c r="AO85" s="159"/>
      <c r="AP85" s="159"/>
      <c r="AQ85" s="159"/>
    </row>
    <row r="86" spans="1:43" s="151" customFormat="1" ht="12.75" hidden="1" customHeight="1" x14ac:dyDescent="0.25">
      <c r="A86" s="424">
        <f>'Tournament Info'!B40</f>
        <v>0</v>
      </c>
      <c r="B86" s="425"/>
      <c r="C86" s="426"/>
      <c r="D86" s="194" t="str">
        <f t="shared" ref="D86:O86" si="25">IF(D87="","",IF(D87&gt;0,"W",IF(D87&lt;0,"L",IF(D87=0,"T"))))</f>
        <v/>
      </c>
      <c r="E86" s="195" t="str">
        <f t="shared" si="25"/>
        <v/>
      </c>
      <c r="F86" s="196" t="str">
        <f t="shared" si="25"/>
        <v/>
      </c>
      <c r="G86" s="194" t="str">
        <f t="shared" si="25"/>
        <v/>
      </c>
      <c r="H86" s="195" t="str">
        <f t="shared" si="25"/>
        <v/>
      </c>
      <c r="I86" s="196" t="str">
        <f t="shared" si="25"/>
        <v/>
      </c>
      <c r="J86" s="194" t="str">
        <f t="shared" si="25"/>
        <v/>
      </c>
      <c r="K86" s="195" t="str">
        <f t="shared" si="25"/>
        <v/>
      </c>
      <c r="L86" s="196" t="str">
        <f t="shared" si="25"/>
        <v/>
      </c>
      <c r="M86" s="194" t="str">
        <f t="shared" si="25"/>
        <v/>
      </c>
      <c r="N86" s="195" t="str">
        <f t="shared" si="25"/>
        <v/>
      </c>
      <c r="O86" s="196" t="str">
        <f t="shared" si="25"/>
        <v/>
      </c>
      <c r="P86" s="197" t="s">
        <v>35</v>
      </c>
      <c r="Q86" s="198"/>
      <c r="R86" s="198" t="s">
        <v>36</v>
      </c>
      <c r="S86" s="198"/>
      <c r="T86" s="199" t="s">
        <v>31</v>
      </c>
      <c r="U86" s="127">
        <f>IFERROR(VLOOKUP('Tab Summary'!L85,TeamRecord,4,FALSE ),0)</f>
        <v>0</v>
      </c>
      <c r="V86" s="128">
        <f>IFERROR(VLOOKUP('Tab Summary'!O85,TeamRecord,4,FALSE ),0)</f>
        <v>0</v>
      </c>
      <c r="W86" s="129">
        <f>IFERROR(VLOOKUP('Tab Summary'!L85,TeamRecord,6,FALSE ),0)</f>
        <v>0</v>
      </c>
      <c r="X86" s="127">
        <f>IFERROR(VLOOKUP('Tab Summary'!O85,TeamRecord,6,FALSE ),0)</f>
        <v>0</v>
      </c>
      <c r="Y86" s="171">
        <f>IF(Y85&lt;&gt;0,(IF(COUNTIF('Ballot Entry'!$Z$3:$Z$35,'Tab Summary'!P87)=2,IF(P87=W85,IF(COUNTIF(D86:F86,"W")&gt;COUNTIF(D86:F86,"L"),1,0),0)+IF(P87=X85,IF(COUNTIF(G86:I86,"W")&gt;COUNTIF(G86:I86,"L"),1,0),0)+IF(P87=W86,IF(COUNTIF(J86:L86,"W")&gt;COUNTIF(J86:L86,"L"),1,0),0)+IF(P87=X86,IF(COUNTIF(M86:O86,"W")&gt;COUNTIF(M86:O86,"L"),1,0),0),0)),0)</f>
        <v>0</v>
      </c>
      <c r="Z86" s="171" t="str">
        <f>IF(Teams&gt;25,"Show", "Hide")</f>
        <v>Hide</v>
      </c>
      <c r="AA86" s="158"/>
      <c r="AB86" s="158"/>
      <c r="AC86" s="159"/>
      <c r="AD86" s="159"/>
      <c r="AE86" s="158"/>
      <c r="AF86" s="158"/>
      <c r="AG86" s="159"/>
      <c r="AH86" s="159"/>
      <c r="AI86" s="159"/>
      <c r="AJ86" s="159"/>
      <c r="AK86" s="159"/>
      <c r="AL86" s="159"/>
      <c r="AM86" s="159"/>
      <c r="AN86" s="159"/>
      <c r="AO86" s="159"/>
      <c r="AP86" s="159"/>
      <c r="AQ86" s="159"/>
    </row>
    <row r="87" spans="1:43" s="151" customFormat="1" ht="13.5" hidden="1" customHeight="1" thickBot="1" x14ac:dyDescent="0.3">
      <c r="A87" s="427"/>
      <c r="B87" s="428"/>
      <c r="C87" s="429"/>
      <c r="D87" s="200" t="str">
        <f>IFERROR(IF(D85="Π",VLOOKUP($A85, Round1P,3,FALSE),VLOOKUP($A85,Round1D,3,FALSE)),"")</f>
        <v/>
      </c>
      <c r="E87" s="201" t="str">
        <f>IFERROR(IF(Ballots=3,IF(D85="Π",VLOOKUP($A85, Round1P,5,FALSE),VLOOKUP($A85,Round1D,5,FALSE)),""),"")</f>
        <v/>
      </c>
      <c r="F87" s="202" t="str">
        <f>IFERROR(IF(D85="Π",VLOOKUP($A85, Round1P,4,FALSE),VLOOKUP($A85,Round1D,4,FALSE)),"")</f>
        <v/>
      </c>
      <c r="G87" s="200" t="str">
        <f>IFERROR(IF(G85="Π",VLOOKUP($A85, Round2P,3,FALSE),VLOOKUP($A85,Round2D,3,FALSE)),"")</f>
        <v/>
      </c>
      <c r="H87" s="201" t="str">
        <f>IFERROR(IF(Ballots=3,IF(G85="Π",VLOOKUP($A85, Round2P,5,FALSE),VLOOKUP($A85,Round2D,5,FALSE)),""),"")</f>
        <v/>
      </c>
      <c r="I87" s="202" t="str">
        <f>IFERROR(IF(G85="Π",VLOOKUP($A85, Round2P,4,FALSE),VLOOKUP($A85,Round2D,4,FALSE)),"")</f>
        <v/>
      </c>
      <c r="J87" s="200" t="str">
        <f>IFERROR(IF(J85="Π",VLOOKUP($A85, Round3P,3,FALSE),VLOOKUP($A85,Round3D,3,FALSE)),"")</f>
        <v/>
      </c>
      <c r="K87" s="201" t="str">
        <f>IFERROR(IF(Ballots=3,IF(J85="Π",VLOOKUP($A85, Round3P,5,FALSE),VLOOKUP($A85,Round3D,5,FALSE)),""),"")</f>
        <v/>
      </c>
      <c r="L87" s="202" t="str">
        <f>IFERROR(IF(J85="Π",VLOOKUP($A85, Round3P,4,FALSE),VLOOKUP($A85,Round3D,4,FALSE)),"")</f>
        <v/>
      </c>
      <c r="M87" s="200" t="str">
        <f>IFERROR(IF(M85="Π",VLOOKUP($A85, Round4P,3,FALSE),VLOOKUP($A85,Round4D,3,FALSE)),"")</f>
        <v/>
      </c>
      <c r="N87" s="201" t="str">
        <f>IFERROR(IF(Ballots=3,IF(M85="Π",VLOOKUP($A85, Round4P,5,FALSE),VLOOKUP($A85,Round4D,5,FALSE)),""),"")</f>
        <v/>
      </c>
      <c r="O87" s="202" t="str">
        <f>IFERROR(IF(M85="Π",VLOOKUP($A85, Round4P,4,FALSE),VLOOKUP($A85,Round4D,4,FALSE)),"")</f>
        <v/>
      </c>
      <c r="P87" s="203">
        <f>'Tab Summary'!U85+'Tab Summary'!V85+'Tab Summary'!U86+'Tab Summary'!V86</f>
        <v>0</v>
      </c>
      <c r="Q87" s="204"/>
      <c r="R87" s="205">
        <f>SUM('Tab Summary'!W85:X86)</f>
        <v>0</v>
      </c>
      <c r="S87" s="206"/>
      <c r="T87" s="207">
        <f>SUM(D87:O87)</f>
        <v>0</v>
      </c>
      <c r="U87" s="130" t="s">
        <v>67</v>
      </c>
      <c r="V87" s="131">
        <f>IF(D85="Π",COUNTIF(D86:F86,"W"),0)+IF(G85="Π",COUNTIF(G86:I86,"W"),0)+IF(J85="Π",COUNTIF(J86:L86,"W"),0)+IF(M85="Π",COUNTIF(M86:O86,"W"),0)</f>
        <v>0</v>
      </c>
      <c r="W87" s="132" t="s">
        <v>68</v>
      </c>
      <c r="X87" s="130">
        <f>IF(D85="Δ",COUNTIF(D86:F86,"W"),0)+IF(G85="Δ",COUNTIF(G86:I86,"W"),0)+IF(J85="Δ",COUNTIF(J86:L86,"W"),0)+IF(M85="Δ",COUNTIF(M86:O86,"W"),0)</f>
        <v>0</v>
      </c>
      <c r="Y87" s="171"/>
      <c r="Z87" s="171" t="str">
        <f>IF(Teams&gt;25,"Show", "Hide")</f>
        <v>Hide</v>
      </c>
      <c r="AA87" s="158"/>
      <c r="AB87" s="158"/>
      <c r="AC87" s="159"/>
      <c r="AD87" s="159"/>
      <c r="AE87" s="158"/>
      <c r="AF87" s="158"/>
      <c r="AG87" s="159"/>
      <c r="AH87" s="159"/>
      <c r="AI87" s="159"/>
      <c r="AJ87" s="159"/>
      <c r="AK87" s="159"/>
      <c r="AL87" s="159"/>
      <c r="AM87" s="159"/>
      <c r="AN87" s="159"/>
      <c r="AO87" s="159"/>
      <c r="AP87" s="159"/>
      <c r="AQ87" s="159"/>
    </row>
    <row r="88" spans="1:43" s="151" customFormat="1" ht="13.5" hidden="1" x14ac:dyDescent="0.25">
      <c r="A88" s="430">
        <f>'Tournament Info'!C41</f>
        <v>0</v>
      </c>
      <c r="B88" s="431"/>
      <c r="C88" s="432"/>
      <c r="D88" s="163" t="str">
        <f>IF(COUNTIF('Ballot Entry'!$M$3:$M$37,$A88)=1,"Π",IF(COUNTIF('Ballot Entry'!$N$3:$N$37,$A88)=1,"Δ",""))</f>
        <v/>
      </c>
      <c r="E88" s="164" t="s">
        <v>30</v>
      </c>
      <c r="F88" s="165" t="str">
        <f>IFERROR(IF(D88="Π",VLOOKUP($A88, Round1P,2,FALSE),VLOOKUP($A88,Round1D,2,FALSE)),"")</f>
        <v/>
      </c>
      <c r="G88" s="163" t="str">
        <f>IF(COUNTIF('Ballot Entry'!$M$109:$M$143,$A88)=1,"Π",IF(COUNTIF('Ballot Entry'!$N$109:$N$143,$A88)=1,"Δ",""))</f>
        <v/>
      </c>
      <c r="H88" s="164" t="s">
        <v>30</v>
      </c>
      <c r="I88" s="165" t="str">
        <f>IFERROR(IF(G88="Π",VLOOKUP($A88, Round2P,2,FALSE),VLOOKUP($A88,Round2D,2,FALSE)),"")</f>
        <v/>
      </c>
      <c r="J88" s="163" t="str">
        <f>IF(COUNTIF('Ballot Entry'!$M$215:$M$249,$A88)=1,"Π",IF(COUNTIF('Ballot Entry'!$N$215:$N$249,$A88)=1,"Δ",""))</f>
        <v/>
      </c>
      <c r="K88" s="164" t="s">
        <v>30</v>
      </c>
      <c r="L88" s="165" t="str">
        <f>IFERROR(IF(J88="Π",VLOOKUP($A88, Round3P,2,FALSE),VLOOKUP($A88,Round3D,2,FALSE)),"")</f>
        <v/>
      </c>
      <c r="M88" s="163" t="str">
        <f>IF(COUNTIF('Ballot Entry'!$M$321:$M$355,$A88)=1,"Π",IF(COUNTIF('Ballot Entry'!$N$321:$N$355,$A88)=1,"Δ",""))</f>
        <v/>
      </c>
      <c r="N88" s="164" t="s">
        <v>30</v>
      </c>
      <c r="O88" s="165" t="str">
        <f>IFERROR(IF(M88="Π",VLOOKUP($A88, Round4P,2,FALSE),VLOOKUP($A88,Round4D,2,FALSE)),"")</f>
        <v/>
      </c>
      <c r="P88" s="166">
        <f>COUNTIF(D89:O89,"W")</f>
        <v>0</v>
      </c>
      <c r="Q88" s="167" t="s">
        <v>34</v>
      </c>
      <c r="R88" s="168">
        <f>COUNTIF(D89:O89,"L")</f>
        <v>0</v>
      </c>
      <c r="S88" s="169" t="s">
        <v>34</v>
      </c>
      <c r="T88" s="170">
        <f>COUNTIF(D89:O89,"T")</f>
        <v>0</v>
      </c>
      <c r="U88" s="124">
        <f>IFERROR(VLOOKUP('Tab Summary'!F88,TeamRecord,4,FALSE ),0)</f>
        <v>0</v>
      </c>
      <c r="V88" s="125">
        <f>IFERROR(VLOOKUP('Tab Summary'!I88,TeamRecord,4,FALSE ),0)</f>
        <v>0</v>
      </c>
      <c r="W88" s="126">
        <f>IFERROR(VLOOKUP('Tab Summary'!F88,TeamRecord,6,FALSE ),0)</f>
        <v>0</v>
      </c>
      <c r="X88" s="124">
        <f>IFERROR(VLOOKUP('Tab Summary'!I88,TeamRecord,6,FALSE ),0)</f>
        <v>0</v>
      </c>
      <c r="Y88" s="171">
        <f>IF(COUNTIF('Ballot Entry'!$X$3:$X$221,(P88+(T88/2)))=2,IF((P88+(T88/2))=U88,IF(COUNTIF(D89:F89,"W")&gt;COUNTIF(D89:F89,"L"),F88,0),0)+IF((P88+(T88/2))=V88,IF(COUNTIF(G89:I89,"W")&gt;COUNTIF(G89:I89,"L"),I88,0),0)+IF((P88+(T88/2))=U89,IF(COUNTIF(J89:L89,"W")&gt;COUNTIF(J89:L89,"L"),L88,0),0)+IF((P88+(T88/2))=V89,IF(COUNTIF(M89:O89,"W")&gt;COUNTIF(M89:O89,"L"),O88,0),0),0)</f>
        <v>0</v>
      </c>
      <c r="Z88" s="171" t="str">
        <f>IF(Teams&gt;26,"Show", "Hide")</f>
        <v>Hide</v>
      </c>
      <c r="AA88" s="158"/>
      <c r="AB88" s="158"/>
      <c r="AC88" s="159"/>
      <c r="AD88" s="159"/>
      <c r="AE88" s="158"/>
      <c r="AF88" s="158"/>
      <c r="AG88" s="159"/>
      <c r="AH88" s="159"/>
      <c r="AI88" s="159"/>
      <c r="AJ88" s="159"/>
      <c r="AK88" s="159"/>
      <c r="AL88" s="159"/>
      <c r="AM88" s="159"/>
      <c r="AN88" s="159"/>
      <c r="AO88" s="159"/>
      <c r="AP88" s="159"/>
      <c r="AQ88" s="159"/>
    </row>
    <row r="89" spans="1:43" s="151" customFormat="1" ht="12.75" hidden="1" customHeight="1" x14ac:dyDescent="0.25">
      <c r="A89" s="433">
        <f>'Tournament Info'!B41</f>
        <v>0</v>
      </c>
      <c r="B89" s="434"/>
      <c r="C89" s="435"/>
      <c r="D89" s="172" t="str">
        <f t="shared" ref="D89:O89" si="26">IF(D90="","",IF(D90&gt;0,"W",IF(D90&lt;0,"L",IF(D90=0,"T"))))</f>
        <v/>
      </c>
      <c r="E89" s="173" t="str">
        <f t="shared" si="26"/>
        <v/>
      </c>
      <c r="F89" s="174" t="str">
        <f t="shared" si="26"/>
        <v/>
      </c>
      <c r="G89" s="172" t="str">
        <f t="shared" si="26"/>
        <v/>
      </c>
      <c r="H89" s="173" t="str">
        <f t="shared" si="26"/>
        <v/>
      </c>
      <c r="I89" s="174" t="str">
        <f t="shared" si="26"/>
        <v/>
      </c>
      <c r="J89" s="172" t="str">
        <f t="shared" si="26"/>
        <v/>
      </c>
      <c r="K89" s="173" t="str">
        <f t="shared" si="26"/>
        <v/>
      </c>
      <c r="L89" s="174" t="str">
        <f t="shared" si="26"/>
        <v/>
      </c>
      <c r="M89" s="172" t="str">
        <f t="shared" si="26"/>
        <v/>
      </c>
      <c r="N89" s="173" t="str">
        <f t="shared" si="26"/>
        <v/>
      </c>
      <c r="O89" s="174" t="str">
        <f t="shared" si="26"/>
        <v/>
      </c>
      <c r="P89" s="175" t="s">
        <v>35</v>
      </c>
      <c r="Q89" s="176"/>
      <c r="R89" s="176" t="s">
        <v>36</v>
      </c>
      <c r="S89" s="176"/>
      <c r="T89" s="177" t="s">
        <v>31</v>
      </c>
      <c r="U89" s="127">
        <f>IFERROR(VLOOKUP('Tab Summary'!L88,TeamRecord,4,FALSE ),0)</f>
        <v>0</v>
      </c>
      <c r="V89" s="128">
        <f>IFERROR(VLOOKUP('Tab Summary'!O88,TeamRecord,4,FALSE ),0)</f>
        <v>0</v>
      </c>
      <c r="W89" s="129">
        <f>IFERROR(VLOOKUP('Tab Summary'!L88,TeamRecord,6,FALSE ),0)</f>
        <v>0</v>
      </c>
      <c r="X89" s="127">
        <f>IFERROR(VLOOKUP('Tab Summary'!O88,TeamRecord,6,FALSE ),0)</f>
        <v>0</v>
      </c>
      <c r="Y89" s="171">
        <f>IF(Y88&lt;&gt;0,(IF(COUNTIF('Ballot Entry'!$Z$3:$Z$35,'Tab Summary'!P90)=2,IF(P90=W88,IF(COUNTIF(D89:F89,"W")&gt;COUNTIF(D89:F89,"L"),1,0),0)+IF(P90=X88,IF(COUNTIF(G89:I89,"W")&gt;COUNTIF(G89:I89,"L"),1,0),0)+IF(P90=W89,IF(COUNTIF(J89:L89,"W")&gt;COUNTIF(J89:L89,"L"),1,0),0)+IF(P90=X89,IF(COUNTIF(M89:O89,"W")&gt;COUNTIF(M89:O89,"L"),1,0),0),0)),0)</f>
        <v>0</v>
      </c>
      <c r="Z89" s="171" t="str">
        <f>IF(Teams&gt;26,"Show", "Hide")</f>
        <v>Hide</v>
      </c>
      <c r="AA89" s="158"/>
      <c r="AB89" s="158"/>
      <c r="AC89" s="159"/>
      <c r="AD89" s="159"/>
      <c r="AE89" s="158"/>
      <c r="AF89" s="158"/>
      <c r="AG89" s="159"/>
      <c r="AH89" s="159"/>
      <c r="AI89" s="159"/>
      <c r="AJ89" s="159"/>
      <c r="AK89" s="159"/>
      <c r="AL89" s="159"/>
      <c r="AM89" s="159"/>
      <c r="AN89" s="159"/>
      <c r="AO89" s="159"/>
      <c r="AP89" s="159"/>
      <c r="AQ89" s="159"/>
    </row>
    <row r="90" spans="1:43" s="151" customFormat="1" ht="13.5" hidden="1" customHeight="1" thickBot="1" x14ac:dyDescent="0.3">
      <c r="A90" s="436"/>
      <c r="B90" s="437"/>
      <c r="C90" s="438"/>
      <c r="D90" s="178" t="str">
        <f>IFERROR(IF(D88="Π",VLOOKUP($A88, Round1P,3,FALSE),VLOOKUP($A88,Round1D,3,FALSE)),"")</f>
        <v/>
      </c>
      <c r="E90" s="179" t="str">
        <f>IFERROR(IF(Ballots=3,IF(D88="Π",VLOOKUP($A88, Round1P,5,FALSE),VLOOKUP($A88,Round1D,5,FALSE)),""),"")</f>
        <v/>
      </c>
      <c r="F90" s="180" t="str">
        <f>IFERROR(IF(D88="Π",VLOOKUP($A88, Round1P,4,FALSE),VLOOKUP($A88,Round1D,4,FALSE)),"")</f>
        <v/>
      </c>
      <c r="G90" s="178" t="str">
        <f>IFERROR(IF(G88="Π",VLOOKUP($A88, Round2P,3,FALSE),VLOOKUP($A88,Round2D,3,FALSE)),"")</f>
        <v/>
      </c>
      <c r="H90" s="179" t="str">
        <f>IFERROR(IF(Ballots=3,IF(G88="Π",VLOOKUP($A88, Round2P,5,FALSE),VLOOKUP($A88,Round2D,5,FALSE)),""),"")</f>
        <v/>
      </c>
      <c r="I90" s="180" t="str">
        <f>IFERROR(IF(G88="Π",VLOOKUP($A88, Round2P,4,FALSE),VLOOKUP($A88,Round2D,4,FALSE)),"")</f>
        <v/>
      </c>
      <c r="J90" s="178" t="str">
        <f>IFERROR(IF(J88="Π",VLOOKUP($A88, Round3P,3,FALSE),VLOOKUP($A88,Round3D,3,FALSE)),"")</f>
        <v/>
      </c>
      <c r="K90" s="179" t="str">
        <f>IFERROR(IF(Ballots=3,IF(J88="Π",VLOOKUP($A88, Round3P,5,FALSE),VLOOKUP($A88,Round3D,5,FALSE)),""),"")</f>
        <v/>
      </c>
      <c r="L90" s="180" t="str">
        <f>IFERROR(IF(J88="Π",VLOOKUP($A88, Round3P,4,FALSE),VLOOKUP($A88,Round3D,4,FALSE)),"")</f>
        <v/>
      </c>
      <c r="M90" s="178" t="str">
        <f>IFERROR(IF(M88="Π",VLOOKUP($A88, Round4P,3,FALSE),VLOOKUP($A88,Round4D,3,FALSE)),"")</f>
        <v/>
      </c>
      <c r="N90" s="179" t="str">
        <f>IFERROR(IF(Ballots=3,IF(M88="Π",VLOOKUP($A88, Round4P,5,FALSE),VLOOKUP($A88,Round4D,5,FALSE)),""),"")</f>
        <v/>
      </c>
      <c r="O90" s="180" t="str">
        <f>IFERROR(IF(M88="Π",VLOOKUP($A88, Round4P,4,FALSE),VLOOKUP($A88,Round4D,4,FALSE)),"")</f>
        <v/>
      </c>
      <c r="P90" s="181">
        <f>'Tab Summary'!U88+'Tab Summary'!V88+'Tab Summary'!U89+'Tab Summary'!V89</f>
        <v>0</v>
      </c>
      <c r="Q90" s="182"/>
      <c r="R90" s="183">
        <f>SUM('Tab Summary'!W88:X89)</f>
        <v>0</v>
      </c>
      <c r="S90" s="184"/>
      <c r="T90" s="185">
        <f>SUM(D90:O90)</f>
        <v>0</v>
      </c>
      <c r="U90" s="130" t="s">
        <v>67</v>
      </c>
      <c r="V90" s="131">
        <f>IF('Tab Summary'!D88="Π",COUNTIF('Tab Summary'!D89:F89,"W"),0)+IF('Tab Summary'!G88="Π",COUNTIF('Tab Summary'!G89:I89,"W"),0)+IF('Tab Summary'!J88="Π",COUNTIF('Tab Summary'!J89:L89,"W"),0)+IF('Tab Summary'!M88="Π",COUNTIF('Tab Summary'!M89:O89,"W"),0)</f>
        <v>0</v>
      </c>
      <c r="W90" s="132" t="s">
        <v>68</v>
      </c>
      <c r="X90" s="130">
        <f>IF(D88="Δ",COUNTIF(D89:F89,"W"),0)+IF(G88="Δ",COUNTIF(G89:I89,"W"),0)+IF(J88="Δ",COUNTIF(J89:L89,"W"),0)+IF(M88="Δ",COUNTIF(M89:O89,"W"),0)</f>
        <v>0</v>
      </c>
      <c r="Y90" s="171"/>
      <c r="Z90" s="171" t="str">
        <f>IF(Teams&gt;26,"Show", "Hide")</f>
        <v>Hide</v>
      </c>
      <c r="AA90" s="158"/>
      <c r="AB90" s="158"/>
      <c r="AC90" s="159"/>
      <c r="AD90" s="159"/>
      <c r="AE90" s="158"/>
      <c r="AF90" s="158"/>
      <c r="AG90" s="159"/>
      <c r="AH90" s="159"/>
      <c r="AI90" s="159"/>
      <c r="AJ90" s="159"/>
      <c r="AK90" s="159"/>
      <c r="AL90" s="159"/>
      <c r="AM90" s="159"/>
      <c r="AN90" s="159"/>
      <c r="AO90" s="159"/>
      <c r="AP90" s="159"/>
      <c r="AQ90" s="159"/>
    </row>
    <row r="91" spans="1:43" s="151" customFormat="1" ht="13.5" hidden="1" x14ac:dyDescent="0.25">
      <c r="A91" s="439">
        <f>'Tournament Info'!C42</f>
        <v>0</v>
      </c>
      <c r="B91" s="440"/>
      <c r="C91" s="441"/>
      <c r="D91" s="186" t="str">
        <f>IF(COUNTIF('Ballot Entry'!$M$3:$M$37,$A91)=1,"Π",IF(COUNTIF('Ballot Entry'!$N$3:$N$37,$A91)=1,"Δ",""))</f>
        <v/>
      </c>
      <c r="E91" s="187" t="s">
        <v>30</v>
      </c>
      <c r="F91" s="188" t="str">
        <f>IFERROR(IF(D91="Π",VLOOKUP($A91, Round1P,2,FALSE),VLOOKUP($A91,Round1D,2,FALSE)),"")</f>
        <v/>
      </c>
      <c r="G91" s="186" t="str">
        <f>IF(COUNTIF('Ballot Entry'!$M$109:$M$143,$A91)=1,"Π",IF(COUNTIF('Ballot Entry'!$N$109:$N$143,$A91)=1,"Δ",""))</f>
        <v/>
      </c>
      <c r="H91" s="187" t="s">
        <v>30</v>
      </c>
      <c r="I91" s="188" t="str">
        <f>IFERROR(IF(G91="Π",VLOOKUP($A91, Round2P,2,FALSE),VLOOKUP($A91,Round2D,2,FALSE)),"")</f>
        <v/>
      </c>
      <c r="J91" s="186" t="str">
        <f>IF(COUNTIF('Ballot Entry'!$M$215:$M$249,$A91)=1,"Π",IF(COUNTIF('Ballot Entry'!$N$215:$N$249,$A91)=1,"Δ",""))</f>
        <v/>
      </c>
      <c r="K91" s="187" t="s">
        <v>30</v>
      </c>
      <c r="L91" s="188" t="str">
        <f>IFERROR(IF(J91="Π",VLOOKUP($A91, Round3P,2,FALSE),VLOOKUP($A91,Round3D,2,FALSE)),"")</f>
        <v/>
      </c>
      <c r="M91" s="186" t="str">
        <f>IF(COUNTIF('Ballot Entry'!$M$321:$M$355,$A91)=1,"Π",IF(COUNTIF('Ballot Entry'!$N$321:$N$355,$A91)=1,"Δ",""))</f>
        <v/>
      </c>
      <c r="N91" s="187" t="s">
        <v>30</v>
      </c>
      <c r="O91" s="188" t="str">
        <f>IFERROR(IF(M91="Π",VLOOKUP($A91, Round4P,2,FALSE),VLOOKUP($A91,Round4D,2,FALSE)),"")</f>
        <v/>
      </c>
      <c r="P91" s="189">
        <f>COUNTIF(D92:O92,"W")</f>
        <v>0</v>
      </c>
      <c r="Q91" s="190" t="s">
        <v>34</v>
      </c>
      <c r="R91" s="191">
        <f>COUNTIF(D92:O92,"L")</f>
        <v>0</v>
      </c>
      <c r="S91" s="192" t="s">
        <v>34</v>
      </c>
      <c r="T91" s="193">
        <f>COUNTIF(D92:O92,"T")</f>
        <v>0</v>
      </c>
      <c r="U91" s="124">
        <f>IFERROR(VLOOKUP('Tab Summary'!F91,TeamRecord,4,FALSE ),0)</f>
        <v>0</v>
      </c>
      <c r="V91" s="125">
        <f>IFERROR(VLOOKUP('Tab Summary'!I91,TeamRecord,4,FALSE ),0)</f>
        <v>0</v>
      </c>
      <c r="W91" s="126">
        <f>IFERROR(VLOOKUP('Tab Summary'!F91,TeamRecord,6,FALSE ),0)</f>
        <v>0</v>
      </c>
      <c r="X91" s="124">
        <f>IFERROR(VLOOKUP('Tab Summary'!I91,TeamRecord,6,FALSE ),0)</f>
        <v>0</v>
      </c>
      <c r="Y91" s="171">
        <f>IF(COUNTIF('Ballot Entry'!$X$3:$X$221,(P91+(T91/2)))=2,IF((P91+(T91/2))=U91,IF(COUNTIF(D92:F92,"W")&gt;COUNTIF(D92:F92,"L"),F91,0),0)+IF((P91+(T91/2))=V91,IF(COUNTIF(G92:I92,"W")&gt;COUNTIF(G92:I92,"L"),I91,0),0)+IF((P91+(T91/2))=U92,IF(COUNTIF(J92:L92,"W")&gt;COUNTIF(J92:L92,"L"),L91,0),0)+IF((P91+(T91/2))=V92,IF(COUNTIF(M92:O92,"W")&gt;COUNTIF(M92:O92,"L"),O91,0),0),0)</f>
        <v>0</v>
      </c>
      <c r="Z91" s="171" t="str">
        <f>IF(Teams&gt;27,"Show", "Hide")</f>
        <v>Hide</v>
      </c>
      <c r="AA91" s="158"/>
      <c r="AB91" s="158"/>
      <c r="AC91" s="159"/>
      <c r="AD91" s="159"/>
      <c r="AE91" s="158"/>
      <c r="AF91" s="158"/>
      <c r="AG91" s="159"/>
      <c r="AH91" s="159"/>
      <c r="AI91" s="159"/>
      <c r="AJ91" s="159"/>
      <c r="AK91" s="159"/>
      <c r="AL91" s="159"/>
      <c r="AM91" s="159"/>
      <c r="AN91" s="159"/>
      <c r="AO91" s="159"/>
      <c r="AP91" s="159"/>
      <c r="AQ91" s="159"/>
    </row>
    <row r="92" spans="1:43" s="151" customFormat="1" ht="12.75" hidden="1" customHeight="1" x14ac:dyDescent="0.25">
      <c r="A92" s="424">
        <f>'Tournament Info'!B42</f>
        <v>0</v>
      </c>
      <c r="B92" s="425"/>
      <c r="C92" s="426"/>
      <c r="D92" s="194" t="str">
        <f t="shared" ref="D92:O92" si="27">IF(D93="","",IF(D93&gt;0,"W",IF(D93&lt;0,"L",IF(D93=0,"T"))))</f>
        <v/>
      </c>
      <c r="E92" s="195" t="str">
        <f t="shared" si="27"/>
        <v/>
      </c>
      <c r="F92" s="196" t="str">
        <f t="shared" si="27"/>
        <v/>
      </c>
      <c r="G92" s="194" t="str">
        <f t="shared" si="27"/>
        <v/>
      </c>
      <c r="H92" s="195" t="str">
        <f t="shared" si="27"/>
        <v/>
      </c>
      <c r="I92" s="196" t="str">
        <f t="shared" si="27"/>
        <v/>
      </c>
      <c r="J92" s="194" t="str">
        <f t="shared" si="27"/>
        <v/>
      </c>
      <c r="K92" s="195" t="str">
        <f t="shared" si="27"/>
        <v/>
      </c>
      <c r="L92" s="196" t="str">
        <f t="shared" si="27"/>
        <v/>
      </c>
      <c r="M92" s="194" t="str">
        <f t="shared" si="27"/>
        <v/>
      </c>
      <c r="N92" s="195" t="str">
        <f t="shared" si="27"/>
        <v/>
      </c>
      <c r="O92" s="196" t="str">
        <f t="shared" si="27"/>
        <v/>
      </c>
      <c r="P92" s="197" t="s">
        <v>35</v>
      </c>
      <c r="Q92" s="198"/>
      <c r="R92" s="198" t="s">
        <v>36</v>
      </c>
      <c r="S92" s="198"/>
      <c r="T92" s="199" t="s">
        <v>31</v>
      </c>
      <c r="U92" s="127">
        <f>IFERROR(VLOOKUP('Tab Summary'!L91,TeamRecord,4,FALSE ),0)</f>
        <v>0</v>
      </c>
      <c r="V92" s="128">
        <f>IFERROR(VLOOKUP('Tab Summary'!O91,TeamRecord,4,FALSE ),0)</f>
        <v>0</v>
      </c>
      <c r="W92" s="129">
        <f>IFERROR(VLOOKUP('Tab Summary'!L91,TeamRecord,6,FALSE ),0)</f>
        <v>0</v>
      </c>
      <c r="X92" s="127">
        <f>IFERROR(VLOOKUP('Tab Summary'!O91,TeamRecord,6,FALSE ),0)</f>
        <v>0</v>
      </c>
      <c r="Y92" s="171">
        <f>IF(Y91&lt;&gt;0,(IF(COUNTIF('Ballot Entry'!$Z$3:$Z$35,'Tab Summary'!P93)=2,IF(P93=W91,IF(COUNTIF(D92:F92,"W")&gt;COUNTIF(D92:F92,"L"),1,0),0)+IF(P93=X91,IF(COUNTIF(G92:I92,"W")&gt;COUNTIF(G92:I92,"L"),1,0),0)+IF(P93=W92,IF(COUNTIF(J92:L92,"W")&gt;COUNTIF(J92:L92,"L"),1,0),0)+IF(P93=X92,IF(COUNTIF(M92:O92,"W")&gt;COUNTIF(M92:O92,"L"),1,0),0),0)),0)</f>
        <v>0</v>
      </c>
      <c r="Z92" s="171" t="str">
        <f>IF(Teams&gt;27,"Show", "Hide")</f>
        <v>Hide</v>
      </c>
      <c r="AA92" s="158"/>
      <c r="AB92" s="158"/>
      <c r="AC92" s="20"/>
      <c r="AD92" s="20"/>
      <c r="AE92" s="20"/>
      <c r="AF92" s="20"/>
      <c r="AG92" s="159"/>
      <c r="AH92" s="159"/>
      <c r="AI92" s="159"/>
      <c r="AJ92" s="159"/>
      <c r="AK92" s="159"/>
      <c r="AL92" s="159"/>
      <c r="AM92" s="159"/>
      <c r="AN92" s="159"/>
      <c r="AO92" s="159"/>
      <c r="AP92" s="159"/>
      <c r="AQ92" s="159"/>
    </row>
    <row r="93" spans="1:43" s="151" customFormat="1" ht="13.5" hidden="1" customHeight="1" thickBot="1" x14ac:dyDescent="0.3">
      <c r="A93" s="427"/>
      <c r="B93" s="428"/>
      <c r="C93" s="429"/>
      <c r="D93" s="200" t="str">
        <f>IFERROR(IF(D91="Π",VLOOKUP($A91, Round1P,3,FALSE),VLOOKUP($A91,Round1D,3,FALSE)),"")</f>
        <v/>
      </c>
      <c r="E93" s="201" t="str">
        <f>IFERROR(IF(Ballots=3,IF(D91="Π",VLOOKUP($A91, Round1P,5,FALSE),VLOOKUP($A91,Round1D,5,FALSE)),""),"")</f>
        <v/>
      </c>
      <c r="F93" s="202" t="str">
        <f>IFERROR(IF(D91="Π",VLOOKUP($A91, Round1P,4,FALSE),VLOOKUP($A91,Round1D,4,FALSE)),"")</f>
        <v/>
      </c>
      <c r="G93" s="200" t="str">
        <f>IFERROR(IF(G91="Π",VLOOKUP($A91, Round2P,3,FALSE),VLOOKUP($A91,Round2D,3,FALSE)),"")</f>
        <v/>
      </c>
      <c r="H93" s="201" t="str">
        <f>IFERROR(IF(Ballots=3,IF(G91="Π",VLOOKUP($A91, Round2P,5,FALSE),VLOOKUP($A91,Round2D,5,FALSE)),""),"")</f>
        <v/>
      </c>
      <c r="I93" s="202" t="str">
        <f>IFERROR(IF(G91="Π",VLOOKUP($A91, Round2P,4,FALSE),VLOOKUP($A91,Round2D,4,FALSE)),"")</f>
        <v/>
      </c>
      <c r="J93" s="200" t="str">
        <f>IFERROR(IF(J91="Π",VLOOKUP($A91, Round3P,3,FALSE),VLOOKUP($A91,Round3D,3,FALSE)),"")</f>
        <v/>
      </c>
      <c r="K93" s="201" t="str">
        <f>IFERROR(IF(Ballots=3,IF(J91="Π",VLOOKUP($A91, Round3P,5,FALSE),VLOOKUP($A91,Round3D,5,FALSE)),""),"")</f>
        <v/>
      </c>
      <c r="L93" s="202" t="str">
        <f>IFERROR(IF(J91="Π",VLOOKUP($A91, Round3P,4,FALSE),VLOOKUP($A91,Round3D,4,FALSE)),"")</f>
        <v/>
      </c>
      <c r="M93" s="200" t="str">
        <f>IFERROR(IF(M91="Π",VLOOKUP($A91, Round4P,3,FALSE),VLOOKUP($A91,Round4D,3,FALSE)),"")</f>
        <v/>
      </c>
      <c r="N93" s="201" t="str">
        <f>IFERROR(IF(Ballots=3,IF(M91="Π",VLOOKUP($A91, Round4P,5,FALSE),VLOOKUP($A91,Round4D,5,FALSE)),""),"")</f>
        <v/>
      </c>
      <c r="O93" s="202" t="str">
        <f>IFERROR(IF(M91="Π",VLOOKUP($A91, Round4P,4,FALSE),VLOOKUP($A91,Round4D,4,FALSE)),"")</f>
        <v/>
      </c>
      <c r="P93" s="203">
        <f>'Tab Summary'!U91+'Tab Summary'!V91+'Tab Summary'!U92+'Tab Summary'!V92</f>
        <v>0</v>
      </c>
      <c r="Q93" s="204"/>
      <c r="R93" s="205">
        <f>SUM('Tab Summary'!W91:X92)</f>
        <v>0</v>
      </c>
      <c r="S93" s="206"/>
      <c r="T93" s="207">
        <f>SUM(D93:O93)</f>
        <v>0</v>
      </c>
      <c r="U93" s="130" t="s">
        <v>67</v>
      </c>
      <c r="V93" s="131">
        <f>IF(D91="Π",COUNTIF(D92:F92,"W"),0)+IF(G91="Π",COUNTIF(G92:I92,"W"),0)+IF(J91="Π",COUNTIF(J92:L92,"W"),0)+IF(M91="Π",COUNTIF(M92:O92,"W"),0)</f>
        <v>0</v>
      </c>
      <c r="W93" s="132" t="s">
        <v>68</v>
      </c>
      <c r="X93" s="130">
        <f>IF(D91="Δ",COUNTIF(D92:F92,"W"),0)+IF(G91="Δ",COUNTIF(G92:I92,"W"),0)+IF(J91="Δ",COUNTIF(J92:L92,"W"),0)+IF(M91="Δ",COUNTIF(M92:O92,"W"),0)</f>
        <v>0</v>
      </c>
      <c r="Y93" s="171"/>
      <c r="Z93" s="171" t="str">
        <f>IF(Teams&gt;27,"Show", "Hide")</f>
        <v>Hide</v>
      </c>
      <c r="AA93" s="158"/>
      <c r="AB93" s="158"/>
      <c r="AC93" s="159"/>
      <c r="AD93" s="159"/>
      <c r="AE93" s="158"/>
      <c r="AF93" s="158"/>
      <c r="AG93" s="159"/>
      <c r="AH93" s="159"/>
      <c r="AI93" s="159"/>
      <c r="AJ93" s="159"/>
      <c r="AK93" s="159"/>
      <c r="AL93" s="159"/>
      <c r="AM93" s="159"/>
      <c r="AN93" s="159"/>
      <c r="AO93" s="159"/>
      <c r="AP93" s="159"/>
      <c r="AQ93" s="159"/>
    </row>
    <row r="94" spans="1:43" s="151" customFormat="1" ht="13.5" hidden="1" customHeight="1" x14ac:dyDescent="0.25">
      <c r="A94" s="430">
        <f>'Tournament Info'!C43</f>
        <v>0</v>
      </c>
      <c r="B94" s="431"/>
      <c r="C94" s="432"/>
      <c r="D94" s="163" t="str">
        <f>IF(COUNTIF('Ballot Entry'!$M$3:$M$37,$A94)=1,"Π",IF(COUNTIF('Ballot Entry'!$N$3:$N$37,$A94)=1,"Δ",""))</f>
        <v/>
      </c>
      <c r="E94" s="164" t="s">
        <v>30</v>
      </c>
      <c r="F94" s="165" t="str">
        <f>IFERROR(IF(D94="Π",VLOOKUP($A94, Round1P,2,FALSE),VLOOKUP($A94,Round1D,2,FALSE)),"")</f>
        <v/>
      </c>
      <c r="G94" s="163" t="str">
        <f>IF(COUNTIF('Ballot Entry'!$M$109:$M$143,$A94)=1,"Π",IF(COUNTIF('Ballot Entry'!$N$109:$N$143,$A94)=1,"Δ",""))</f>
        <v/>
      </c>
      <c r="H94" s="164" t="s">
        <v>30</v>
      </c>
      <c r="I94" s="165" t="str">
        <f>IFERROR(IF(G94="Π",VLOOKUP($A94, Round2P,2,FALSE),VLOOKUP($A94,Round2D,2,FALSE)),"")</f>
        <v/>
      </c>
      <c r="J94" s="163" t="str">
        <f>IF(COUNTIF('Ballot Entry'!$M$215:$M$249,$A94)=1,"Π",IF(COUNTIF('Ballot Entry'!$N$215:$N$249,$A94)=1,"Δ",""))</f>
        <v/>
      </c>
      <c r="K94" s="164" t="s">
        <v>30</v>
      </c>
      <c r="L94" s="165" t="str">
        <f>IFERROR(IF(J94="Π",VLOOKUP($A94, Round3P,2,FALSE),VLOOKUP($A94,Round3D,2,FALSE)),"")</f>
        <v/>
      </c>
      <c r="M94" s="163" t="str">
        <f>IF(COUNTIF('Ballot Entry'!$M$321:$M$355,$A94)=1,"Π",IF(COUNTIF('Ballot Entry'!$N$321:$N$355,$A94)=1,"Δ",""))</f>
        <v/>
      </c>
      <c r="N94" s="164" t="s">
        <v>30</v>
      </c>
      <c r="O94" s="165" t="str">
        <f>IFERROR(IF(M94="Π",VLOOKUP($A94, Round4P,2,FALSE),VLOOKUP($A94,Round4D,2,FALSE)),"")</f>
        <v/>
      </c>
      <c r="P94" s="166">
        <f>COUNTIF(D95:O95,"W")</f>
        <v>0</v>
      </c>
      <c r="Q94" s="167" t="s">
        <v>34</v>
      </c>
      <c r="R94" s="168">
        <f>COUNTIF(D95:O95,"L")</f>
        <v>0</v>
      </c>
      <c r="S94" s="169" t="s">
        <v>34</v>
      </c>
      <c r="T94" s="170">
        <f>COUNTIF(D95:O95,"T")</f>
        <v>0</v>
      </c>
      <c r="U94" s="124">
        <f>IFERROR(VLOOKUP('Tab Summary'!F94,TeamRecord,4,FALSE ),0)</f>
        <v>0</v>
      </c>
      <c r="V94" s="125">
        <f>IFERROR(VLOOKUP('Tab Summary'!I94,TeamRecord,4,FALSE ),0)</f>
        <v>0</v>
      </c>
      <c r="W94" s="126">
        <f>IFERROR(VLOOKUP('Tab Summary'!F94,TeamRecord,6,FALSE ),0)</f>
        <v>0</v>
      </c>
      <c r="X94" s="124">
        <f>IFERROR(VLOOKUP('Tab Summary'!I94,TeamRecord,6,FALSE ),0)</f>
        <v>0</v>
      </c>
      <c r="Y94" s="171">
        <f>IF(COUNTIF('Ballot Entry'!$X$3:$X$221,(P94+(T94/2)))=2,IF((P94+(T94/2))=U94,IF(COUNTIF(D95:F95,"W")&gt;COUNTIF(D95:F95,"L"),F94,0),0)+IF((P94+(T94/2))=V94,IF(COUNTIF(G95:I95,"W")&gt;COUNTIF(G95:I95,"L"),I94,0),0)+IF((P94+(T94/2))=U95,IF(COUNTIF(J95:L95,"W")&gt;COUNTIF(J95:L95,"L"),L94,0),0)+IF((P94+(T94/2))=V95,IF(COUNTIF(M95:O95,"W")&gt;COUNTIF(M95:O95,"L"),O94,0),0),0)</f>
        <v>0</v>
      </c>
      <c r="Z94" s="171" t="str">
        <f>IF(Teams&gt;28,"Show", "Hide")</f>
        <v>Hide</v>
      </c>
      <c r="AA94" s="158"/>
      <c r="AB94" s="158"/>
      <c r="AC94" s="20"/>
      <c r="AD94" s="20"/>
      <c r="AE94" s="20"/>
      <c r="AF94" s="20"/>
      <c r="AG94" s="159"/>
      <c r="AH94" s="159"/>
      <c r="AI94" s="159"/>
      <c r="AJ94" s="159"/>
      <c r="AK94" s="159"/>
      <c r="AL94" s="159"/>
      <c r="AM94" s="159"/>
      <c r="AN94" s="159"/>
      <c r="AO94" s="159"/>
      <c r="AP94" s="159"/>
      <c r="AQ94" s="159"/>
    </row>
    <row r="95" spans="1:43" s="151" customFormat="1" ht="12.75" hidden="1" customHeight="1" x14ac:dyDescent="0.25">
      <c r="A95" s="433">
        <f>'Tournament Info'!B43</f>
        <v>0</v>
      </c>
      <c r="B95" s="434"/>
      <c r="C95" s="435"/>
      <c r="D95" s="172" t="str">
        <f t="shared" ref="D95:O95" si="28">IF(D96="","",IF(D96&gt;0,"W",IF(D96&lt;0,"L",IF(D96=0,"T"))))</f>
        <v/>
      </c>
      <c r="E95" s="173" t="str">
        <f t="shared" si="28"/>
        <v/>
      </c>
      <c r="F95" s="174" t="str">
        <f t="shared" si="28"/>
        <v/>
      </c>
      <c r="G95" s="172" t="str">
        <f t="shared" si="28"/>
        <v/>
      </c>
      <c r="H95" s="173" t="str">
        <f t="shared" si="28"/>
        <v/>
      </c>
      <c r="I95" s="174" t="str">
        <f t="shared" si="28"/>
        <v/>
      </c>
      <c r="J95" s="172" t="str">
        <f t="shared" si="28"/>
        <v/>
      </c>
      <c r="K95" s="173" t="str">
        <f t="shared" si="28"/>
        <v/>
      </c>
      <c r="L95" s="174" t="str">
        <f t="shared" si="28"/>
        <v/>
      </c>
      <c r="M95" s="172" t="str">
        <f t="shared" si="28"/>
        <v/>
      </c>
      <c r="N95" s="173" t="str">
        <f t="shared" si="28"/>
        <v/>
      </c>
      <c r="O95" s="174" t="str">
        <f t="shared" si="28"/>
        <v/>
      </c>
      <c r="P95" s="175" t="s">
        <v>35</v>
      </c>
      <c r="Q95" s="176"/>
      <c r="R95" s="176" t="s">
        <v>36</v>
      </c>
      <c r="S95" s="176"/>
      <c r="T95" s="177" t="s">
        <v>31</v>
      </c>
      <c r="U95" s="127">
        <f>IFERROR(VLOOKUP('Tab Summary'!L94,TeamRecord,4,FALSE ),0)</f>
        <v>0</v>
      </c>
      <c r="V95" s="128">
        <f>IFERROR(VLOOKUP('Tab Summary'!O94,TeamRecord,4,FALSE ),0)</f>
        <v>0</v>
      </c>
      <c r="W95" s="129">
        <f>IFERROR(VLOOKUP('Tab Summary'!L94,TeamRecord,6,FALSE ),0)</f>
        <v>0</v>
      </c>
      <c r="X95" s="127">
        <f>IFERROR(VLOOKUP('Tab Summary'!O94,TeamRecord,6,FALSE ),0)</f>
        <v>0</v>
      </c>
      <c r="Y95" s="171">
        <f>IF(Y94&lt;&gt;0,(IF(COUNTIF('Ballot Entry'!$Z$3:$Z$35,'Tab Summary'!P96)=2,IF(P96=W94,IF(COUNTIF(D95:F95,"W")&gt;COUNTIF(D95:F95,"L"),1,0),0)+IF(P96=X94,IF(COUNTIF(G95:I95,"W")&gt;COUNTIF(G95:I95,"L"),1,0),0)+IF(P96=W95,IF(COUNTIF(J95:L95,"W")&gt;COUNTIF(J95:L95,"L"),1,0),0)+IF(P96=X95,IF(COUNTIF(M95:O95,"W")&gt;COUNTIF(M95:O95,"L"),1,0),0),0)),0)</f>
        <v>0</v>
      </c>
      <c r="Z95" s="171" t="str">
        <f>IF(Teams&gt;28,"Show", "Hide")</f>
        <v>Hide</v>
      </c>
      <c r="AA95" s="158"/>
      <c r="AB95" s="158"/>
      <c r="AC95" s="159"/>
      <c r="AD95" s="159"/>
      <c r="AE95" s="158"/>
      <c r="AF95" s="158"/>
      <c r="AG95" s="159"/>
      <c r="AH95" s="159"/>
      <c r="AI95" s="159"/>
      <c r="AJ95" s="159"/>
      <c r="AK95" s="159"/>
      <c r="AL95" s="159"/>
      <c r="AM95" s="159"/>
      <c r="AN95" s="159"/>
      <c r="AO95" s="159"/>
      <c r="AP95" s="159"/>
      <c r="AQ95" s="159"/>
    </row>
    <row r="96" spans="1:43" s="151" customFormat="1" ht="13.5" hidden="1" customHeight="1" thickBot="1" x14ac:dyDescent="0.3">
      <c r="A96" s="436"/>
      <c r="B96" s="437"/>
      <c r="C96" s="438"/>
      <c r="D96" s="178" t="str">
        <f>IFERROR(IF(D94="Π",VLOOKUP($A94, Round1P,3,FALSE),VLOOKUP($A94,Round1D,3,FALSE)),"")</f>
        <v/>
      </c>
      <c r="E96" s="179" t="str">
        <f>IFERROR(IF(Ballots=3,IF(D94="Π",VLOOKUP($A94, Round1P,5,FALSE),VLOOKUP($A94,Round1D,5,FALSE)),""),"")</f>
        <v/>
      </c>
      <c r="F96" s="180" t="str">
        <f>IFERROR(IF(D94="Π",VLOOKUP($A94, Round1P,4,FALSE),VLOOKUP($A94,Round1D,4,FALSE)),"")</f>
        <v/>
      </c>
      <c r="G96" s="178" t="str">
        <f>IFERROR(IF(G94="Π",VLOOKUP($A94, Round2P,3,FALSE),VLOOKUP($A94,Round2D,3,FALSE)),"")</f>
        <v/>
      </c>
      <c r="H96" s="179" t="str">
        <f>IFERROR(IF(Ballots=3,IF(G94="Π",VLOOKUP($A94, Round2P,5,FALSE),VLOOKUP($A94,Round2D,5,FALSE)),""),"")</f>
        <v/>
      </c>
      <c r="I96" s="180" t="str">
        <f>IFERROR(IF(G94="Π",VLOOKUP($A94, Round2P,4,FALSE),VLOOKUP($A94,Round2D,4,FALSE)),"")</f>
        <v/>
      </c>
      <c r="J96" s="178" t="str">
        <f>IFERROR(IF(J94="Π",VLOOKUP($A94, Round3P,3,FALSE),VLOOKUP($A94,Round3D,3,FALSE)),"")</f>
        <v/>
      </c>
      <c r="K96" s="179" t="str">
        <f>IFERROR(IF(Ballots=3,IF(J94="Π",VLOOKUP($A94, Round3P,5,FALSE),VLOOKUP($A94,Round3D,5,FALSE)),""),"")</f>
        <v/>
      </c>
      <c r="L96" s="180" t="str">
        <f>IFERROR(IF(J94="Π",VLOOKUP($A94, Round3P,4,FALSE),VLOOKUP($A94,Round3D,4,FALSE)),"")</f>
        <v/>
      </c>
      <c r="M96" s="178" t="str">
        <f>IFERROR(IF(M94="Π",VLOOKUP($A94, Round4P,3,FALSE),VLOOKUP($A94,Round4D,3,FALSE)),"")</f>
        <v/>
      </c>
      <c r="N96" s="179" t="str">
        <f>IFERROR(IF(Ballots=3,IF(M94="Π",VLOOKUP($A94, Round4P,5,FALSE),VLOOKUP($A94,Round4D,5,FALSE)),""),"")</f>
        <v/>
      </c>
      <c r="O96" s="180" t="str">
        <f>IFERROR(IF(M94="Π",VLOOKUP($A94, Round4P,4,FALSE),VLOOKUP($A94,Round4D,4,FALSE)),"")</f>
        <v/>
      </c>
      <c r="P96" s="181">
        <f>'Tab Summary'!U94+'Tab Summary'!V94+'Tab Summary'!U95+'Tab Summary'!V95</f>
        <v>0</v>
      </c>
      <c r="Q96" s="182"/>
      <c r="R96" s="183">
        <f>SUM('Tab Summary'!W94:X95)</f>
        <v>0</v>
      </c>
      <c r="S96" s="184"/>
      <c r="T96" s="185">
        <f>SUM(D96:O96)</f>
        <v>0</v>
      </c>
      <c r="U96" s="130" t="s">
        <v>67</v>
      </c>
      <c r="V96" s="131">
        <f>IF(D94="Π",COUNTIF(D95:F95,"W"),0)+IF(G94="Π",COUNTIF(G95:I95,"W"),0)+IF(J94="Π",COUNTIF(J95:L95,"W"),0)+IF(M94="Π",COUNTIF(M95:O95,"W"),0)</f>
        <v>0</v>
      </c>
      <c r="W96" s="132" t="s">
        <v>68</v>
      </c>
      <c r="X96" s="130">
        <f>IF(D94="Δ",COUNTIF(D95:F95,"W"),0)+IF(G94="Δ",COUNTIF(G95:I95,"W"),0)+IF(J94="Δ",COUNTIF(J95:L95,"W"),0)+IF(M94="Δ",COUNTIF(M95:O95,"W"),0)</f>
        <v>0</v>
      </c>
      <c r="Y96" s="171"/>
      <c r="Z96" s="171" t="str">
        <f>IF(Teams&gt;28,"Show", "Hide")</f>
        <v>Hide</v>
      </c>
      <c r="AA96" s="158"/>
      <c r="AB96" s="158"/>
      <c r="AC96" s="159"/>
      <c r="AD96" s="159"/>
      <c r="AE96" s="158"/>
      <c r="AF96" s="158"/>
      <c r="AG96" s="159"/>
      <c r="AH96" s="159"/>
      <c r="AI96" s="159"/>
      <c r="AJ96" s="159"/>
      <c r="AK96" s="159"/>
      <c r="AL96" s="159"/>
      <c r="AM96" s="159"/>
      <c r="AN96" s="159"/>
      <c r="AO96" s="159"/>
      <c r="AP96" s="159"/>
      <c r="AQ96" s="159"/>
    </row>
    <row r="97" spans="1:43" s="151" customFormat="1" ht="13.5" hidden="1" customHeight="1" x14ac:dyDescent="0.25">
      <c r="A97" s="439">
        <f>'Tournament Info'!C44</f>
        <v>0</v>
      </c>
      <c r="B97" s="440"/>
      <c r="C97" s="441"/>
      <c r="D97" s="186" t="str">
        <f>IF(COUNTIF('Ballot Entry'!$M$3:$M$37,$A97)=1,"Π",IF(COUNTIF('Ballot Entry'!$N$3:$N$37,$A97)=1,"Δ",""))</f>
        <v/>
      </c>
      <c r="E97" s="187" t="s">
        <v>30</v>
      </c>
      <c r="F97" s="188" t="str">
        <f>IFERROR(IF(D97="Π",VLOOKUP($A97, Round1P,2,FALSE),VLOOKUP($A97,Round1D,2,FALSE)),"")</f>
        <v/>
      </c>
      <c r="G97" s="186" t="str">
        <f>IF(COUNTIF('Ballot Entry'!$M$109:$M$143,$A97)=1,"Π",IF(COUNTIF('Ballot Entry'!$N$109:$N$143,$A97)=1,"Δ",""))</f>
        <v/>
      </c>
      <c r="H97" s="187" t="s">
        <v>30</v>
      </c>
      <c r="I97" s="188" t="str">
        <f>IFERROR(IF(G97="Π",VLOOKUP($A97, Round2P,2,FALSE),VLOOKUP($A97,Round2D,2,FALSE)),"")</f>
        <v/>
      </c>
      <c r="J97" s="186" t="str">
        <f>IF(COUNTIF('Ballot Entry'!$M$215:$M$249,$A97)=1,"Π",IF(COUNTIF('Ballot Entry'!$N$215:$N$249,$A97)=1,"Δ",""))</f>
        <v/>
      </c>
      <c r="K97" s="187" t="s">
        <v>30</v>
      </c>
      <c r="L97" s="188" t="str">
        <f>IFERROR(IF(J97="Π",VLOOKUP($A97, Round3P,2,FALSE),VLOOKUP($A97,Round3D,2,FALSE)),"")</f>
        <v/>
      </c>
      <c r="M97" s="186" t="str">
        <f>IF(COUNTIF('Ballot Entry'!$M$321:$M$355,$A97)=1,"Π",IF(COUNTIF('Ballot Entry'!$N$321:$N$355,$A97)=1,"Δ",""))</f>
        <v/>
      </c>
      <c r="N97" s="187" t="s">
        <v>30</v>
      </c>
      <c r="O97" s="188" t="str">
        <f>IFERROR(IF(M97="Π",VLOOKUP($A97, Round4P,2,FALSE),VLOOKUP($A97,Round4D,2,FALSE)),"")</f>
        <v/>
      </c>
      <c r="P97" s="189">
        <f>COUNTIF(D98:O98,"W")</f>
        <v>0</v>
      </c>
      <c r="Q97" s="190" t="s">
        <v>34</v>
      </c>
      <c r="R97" s="191">
        <f>COUNTIF(D98:O98,"L")</f>
        <v>0</v>
      </c>
      <c r="S97" s="192" t="s">
        <v>34</v>
      </c>
      <c r="T97" s="193">
        <f>COUNTIF(D98:O98,"T")</f>
        <v>0</v>
      </c>
      <c r="U97" s="124">
        <f>IFERROR(VLOOKUP('Tab Summary'!F97,TeamRecord,4,FALSE ),0)</f>
        <v>0</v>
      </c>
      <c r="V97" s="125">
        <f>IFERROR(VLOOKUP('Tab Summary'!I97,TeamRecord,4,FALSE ),0)</f>
        <v>0</v>
      </c>
      <c r="W97" s="126">
        <f>IFERROR(VLOOKUP('Tab Summary'!F97,TeamRecord,6,FALSE ),0)</f>
        <v>0</v>
      </c>
      <c r="X97" s="124">
        <f>IFERROR(VLOOKUP('Tab Summary'!I97,TeamRecord,6,FALSE ),0)</f>
        <v>0</v>
      </c>
      <c r="Y97" s="171">
        <f>IF(COUNTIF('Ballot Entry'!$X$3:$X$221,(P97+(T97/2)))=2,IF((P97+(T97/2))=U97,IF(COUNTIF(D98:F98,"W")&gt;COUNTIF(D98:F98,"L"),F97,0),0)+IF((P97+(T97/2))=V97,IF(COUNTIF(G98:I98,"W")&gt;COUNTIF(G98:I98,"L"),I97,0),0)+IF((P97+(T97/2))=U98,IF(COUNTIF(J98:L98,"W")&gt;COUNTIF(J98:L98,"L"),L97,0),0)+IF((P97+(T97/2))=V98,IF(COUNTIF(M98:O98,"W")&gt;COUNTIF(M98:O98,"L"),O97,0),0),0)</f>
        <v>0</v>
      </c>
      <c r="Z97" s="171" t="str">
        <f>IF(Teams&gt;29,"Show", "Hide")</f>
        <v>Hide</v>
      </c>
      <c r="AA97" s="158"/>
      <c r="AB97" s="158"/>
      <c r="AC97" s="159"/>
      <c r="AD97" s="159"/>
      <c r="AE97" s="158"/>
      <c r="AF97" s="158"/>
      <c r="AG97" s="159"/>
      <c r="AH97" s="159"/>
      <c r="AI97" s="159"/>
      <c r="AJ97" s="159"/>
      <c r="AK97" s="159"/>
      <c r="AL97" s="159"/>
      <c r="AM97" s="159"/>
      <c r="AN97" s="159"/>
      <c r="AO97" s="159"/>
      <c r="AP97" s="159"/>
      <c r="AQ97" s="159"/>
    </row>
    <row r="98" spans="1:43" s="151" customFormat="1" ht="12.75" hidden="1" customHeight="1" x14ac:dyDescent="0.25">
      <c r="A98" s="424">
        <f>'Tournament Info'!B44</f>
        <v>0</v>
      </c>
      <c r="B98" s="425"/>
      <c r="C98" s="426"/>
      <c r="D98" s="194" t="str">
        <f t="shared" ref="D98:O98" si="29">IF(D99="","",IF(D99&gt;0,"W",IF(D99&lt;0,"L",IF(D99=0,"T"))))</f>
        <v/>
      </c>
      <c r="E98" s="195" t="str">
        <f t="shared" si="29"/>
        <v/>
      </c>
      <c r="F98" s="196" t="str">
        <f t="shared" si="29"/>
        <v/>
      </c>
      <c r="G98" s="194" t="str">
        <f t="shared" si="29"/>
        <v/>
      </c>
      <c r="H98" s="195" t="str">
        <f t="shared" si="29"/>
        <v/>
      </c>
      <c r="I98" s="196" t="str">
        <f t="shared" si="29"/>
        <v/>
      </c>
      <c r="J98" s="194" t="str">
        <f t="shared" si="29"/>
        <v/>
      </c>
      <c r="K98" s="195" t="str">
        <f t="shared" si="29"/>
        <v/>
      </c>
      <c r="L98" s="196" t="str">
        <f t="shared" si="29"/>
        <v/>
      </c>
      <c r="M98" s="194" t="str">
        <f t="shared" si="29"/>
        <v/>
      </c>
      <c r="N98" s="195" t="str">
        <f t="shared" si="29"/>
        <v/>
      </c>
      <c r="O98" s="196" t="str">
        <f t="shared" si="29"/>
        <v/>
      </c>
      <c r="P98" s="197" t="s">
        <v>35</v>
      </c>
      <c r="Q98" s="198"/>
      <c r="R98" s="198" t="s">
        <v>36</v>
      </c>
      <c r="S98" s="198"/>
      <c r="T98" s="199" t="s">
        <v>31</v>
      </c>
      <c r="U98" s="127">
        <f>IFERROR(VLOOKUP('Tab Summary'!L97,TeamRecord,4,FALSE ),0)</f>
        <v>0</v>
      </c>
      <c r="V98" s="128">
        <f>IFERROR(VLOOKUP('Tab Summary'!O97,TeamRecord,4,FALSE ),0)</f>
        <v>0</v>
      </c>
      <c r="W98" s="129">
        <f>IFERROR(VLOOKUP('Tab Summary'!L97,TeamRecord,6,FALSE ),0)</f>
        <v>0</v>
      </c>
      <c r="X98" s="127">
        <f>IFERROR(VLOOKUP('Tab Summary'!O97,TeamRecord,6,FALSE ),0)</f>
        <v>0</v>
      </c>
      <c r="Y98" s="171">
        <f>IF(Y97&lt;&gt;0,(IF(COUNTIF('Ballot Entry'!$Z$3:$Z$35,'Tab Summary'!P99)=2,IF(P99=W97,IF(COUNTIF(D98:F98,"W")&gt;COUNTIF(D98:F98,"L"),1,0),0)+IF(P99=X97,IF(COUNTIF(G98:I98,"W")&gt;COUNTIF(G98:I98,"L"),1,0),0)+IF(P99=W98,IF(COUNTIF(J98:L98,"W")&gt;COUNTIF(J98:L98,"L"),1,0),0)+IF(P99=X98,IF(COUNTIF(M98:O98,"W")&gt;COUNTIF(M98:O98,"L"),1,0),0),0)),0)</f>
        <v>0</v>
      </c>
      <c r="Z98" s="171" t="str">
        <f>IF(Teams&gt;29,"Show", "Hide")</f>
        <v>Hide</v>
      </c>
      <c r="AA98" s="158"/>
      <c r="AB98" s="158"/>
      <c r="AC98" s="159"/>
      <c r="AD98" s="159"/>
      <c r="AE98" s="158"/>
      <c r="AF98" s="158"/>
      <c r="AG98" s="159"/>
      <c r="AH98" s="159"/>
      <c r="AI98" s="159"/>
      <c r="AJ98" s="159"/>
      <c r="AK98" s="159"/>
      <c r="AL98" s="159"/>
      <c r="AM98" s="159"/>
      <c r="AN98" s="159"/>
      <c r="AO98" s="159"/>
      <c r="AP98" s="159"/>
      <c r="AQ98" s="159"/>
    </row>
    <row r="99" spans="1:43" s="151" customFormat="1" ht="13.5" hidden="1" customHeight="1" thickBot="1" x14ac:dyDescent="0.3">
      <c r="A99" s="427"/>
      <c r="B99" s="428"/>
      <c r="C99" s="429"/>
      <c r="D99" s="200" t="str">
        <f>IFERROR(IF(D97="Π",VLOOKUP($A97, Round1P,3,FALSE),VLOOKUP($A97,Round1D,3,FALSE)),"")</f>
        <v/>
      </c>
      <c r="E99" s="201" t="str">
        <f>IFERROR(IF(Ballots=3,IF(D97="Π",VLOOKUP($A97, Round1P,5,FALSE),VLOOKUP($A97,Round1D,5,FALSE)),""),"")</f>
        <v/>
      </c>
      <c r="F99" s="202" t="str">
        <f>IFERROR(IF(D97="Π",VLOOKUP($A97, Round1P,4,FALSE),VLOOKUP($A97,Round1D,4,FALSE)),"")</f>
        <v/>
      </c>
      <c r="G99" s="200" t="str">
        <f>IFERROR(IF(G97="Π",VLOOKUP($A97, Round2P,3,FALSE),VLOOKUP($A97,Round2D,3,FALSE)),"")</f>
        <v/>
      </c>
      <c r="H99" s="201" t="str">
        <f>IFERROR(IF(Ballots=3,IF(G97="Π",VLOOKUP($A97, Round2P,5,FALSE),VLOOKUP($A97,Round2D,5,FALSE)),""),"")</f>
        <v/>
      </c>
      <c r="I99" s="202" t="str">
        <f>IFERROR(IF(G97="Π",VLOOKUP($A97, Round2P,4,FALSE),VLOOKUP($A97,Round2D,4,FALSE)),"")</f>
        <v/>
      </c>
      <c r="J99" s="200" t="str">
        <f>IFERROR(IF(J97="Π",VLOOKUP($A97, Round3P,3,FALSE),VLOOKUP($A97,Round3D,3,FALSE)),"")</f>
        <v/>
      </c>
      <c r="K99" s="201" t="str">
        <f>IFERROR(IF(Ballots=3,IF(J97="Π",VLOOKUP($A97, Round3P,5,FALSE),VLOOKUP($A97,Round3D,5,FALSE)),""),"")</f>
        <v/>
      </c>
      <c r="L99" s="202" t="str">
        <f>IFERROR(IF(J97="Π",VLOOKUP($A97, Round3P,4,FALSE),VLOOKUP($A97,Round3D,4,FALSE)),"")</f>
        <v/>
      </c>
      <c r="M99" s="200" t="str">
        <f>IFERROR(IF(M97="Π",VLOOKUP($A97, Round4P,3,FALSE),VLOOKUP($A97,Round4D,3,FALSE)),"")</f>
        <v/>
      </c>
      <c r="N99" s="201" t="str">
        <f>IFERROR(IF(Ballots=3,IF(M97="Π",VLOOKUP($A97, Round4P,5,FALSE),VLOOKUP($A97,Round4D,5,FALSE)),""),"")</f>
        <v/>
      </c>
      <c r="O99" s="202" t="str">
        <f>IFERROR(IF(M97="Π",VLOOKUP($A97, Round4P,4,FALSE),VLOOKUP($A97,Round4D,4,FALSE)),"")</f>
        <v/>
      </c>
      <c r="P99" s="203">
        <f>'Tab Summary'!U97+'Tab Summary'!V97+'Tab Summary'!U98+'Tab Summary'!V98</f>
        <v>0</v>
      </c>
      <c r="Q99" s="204"/>
      <c r="R99" s="205">
        <f>SUM('Tab Summary'!W97:X98)</f>
        <v>0</v>
      </c>
      <c r="S99" s="206"/>
      <c r="T99" s="207">
        <f>SUM(D99:O99)</f>
        <v>0</v>
      </c>
      <c r="U99" s="130" t="s">
        <v>67</v>
      </c>
      <c r="V99" s="131">
        <f>IF(D97="Π",COUNTIF(D98:F98,"W"),0)+IF(G97="Π",COUNTIF(G98:I98,"W"),0)+IF(J97="Π",COUNTIF(J98:L98,"W"),0)+IF(M97="Π",COUNTIF(M98:O98,"W"),0)</f>
        <v>0</v>
      </c>
      <c r="W99" s="132" t="s">
        <v>68</v>
      </c>
      <c r="X99" s="130">
        <f>IF(D97="Δ",COUNTIF(D98:F98,"W"),0)+IF(G97="Δ",COUNTIF(G98:I98,"W"),0)+IF(J97="Δ",COUNTIF(J98:L98,"W"),0)+IF(M97="Δ",COUNTIF(M98:O98,"W"),0)</f>
        <v>0</v>
      </c>
      <c r="Y99" s="171"/>
      <c r="Z99" s="171" t="str">
        <f>IF(Teams&gt;29,"Show", "Hide")</f>
        <v>Hide</v>
      </c>
      <c r="AA99" s="158"/>
      <c r="AB99" s="158"/>
      <c r="AC99" s="159"/>
      <c r="AD99" s="159"/>
      <c r="AE99" s="158"/>
      <c r="AF99" s="158"/>
      <c r="AG99" s="159"/>
      <c r="AH99" s="159"/>
      <c r="AI99" s="159"/>
      <c r="AJ99" s="159"/>
      <c r="AK99" s="159"/>
      <c r="AL99" s="159"/>
      <c r="AM99" s="159"/>
      <c r="AN99" s="159"/>
      <c r="AO99" s="159"/>
      <c r="AP99" s="159"/>
      <c r="AQ99" s="159"/>
    </row>
    <row r="100" spans="1:43" s="151" customFormat="1" hidden="1" x14ac:dyDescent="0.2">
      <c r="P100" s="152"/>
      <c r="Q100" s="154"/>
      <c r="R100" s="154"/>
      <c r="S100" s="154"/>
      <c r="T100" s="154"/>
      <c r="U100" s="155"/>
      <c r="V100" s="155"/>
      <c r="W100" s="155"/>
      <c r="X100" s="155"/>
      <c r="Y100" s="171"/>
      <c r="Z100" s="171" t="str">
        <f>IF(Teams&gt;30,"Show", "Hide")</f>
        <v>Hide</v>
      </c>
      <c r="AA100" s="158"/>
      <c r="AB100" s="158"/>
      <c r="AC100" s="159"/>
      <c r="AD100" s="159"/>
      <c r="AE100" s="158"/>
      <c r="AF100" s="158"/>
      <c r="AG100" s="159"/>
      <c r="AH100" s="159"/>
      <c r="AI100" s="159"/>
      <c r="AJ100" s="159"/>
      <c r="AK100" s="159"/>
      <c r="AL100" s="159"/>
      <c r="AM100" s="159"/>
      <c r="AN100" s="159"/>
      <c r="AO100" s="159"/>
      <c r="AP100" s="159"/>
      <c r="AQ100" s="159"/>
    </row>
    <row r="101" spans="1:43" s="151" customFormat="1" ht="13.5" hidden="1" thickBot="1" x14ac:dyDescent="0.25">
      <c r="A101" s="444" t="s">
        <v>24</v>
      </c>
      <c r="B101" s="445"/>
      <c r="C101" s="446"/>
      <c r="D101" s="417" t="s">
        <v>25</v>
      </c>
      <c r="E101" s="418"/>
      <c r="F101" s="419"/>
      <c r="G101" s="417" t="s">
        <v>26</v>
      </c>
      <c r="H101" s="418"/>
      <c r="I101" s="419"/>
      <c r="J101" s="417" t="s">
        <v>27</v>
      </c>
      <c r="K101" s="418"/>
      <c r="L101" s="419"/>
      <c r="M101" s="417" t="s">
        <v>28</v>
      </c>
      <c r="N101" s="418"/>
      <c r="O101" s="419"/>
      <c r="P101" s="417" t="s">
        <v>64</v>
      </c>
      <c r="Q101" s="418"/>
      <c r="R101" s="418"/>
      <c r="S101" s="418"/>
      <c r="T101" s="419"/>
      <c r="U101" s="133"/>
      <c r="V101" s="134"/>
      <c r="W101" s="133"/>
      <c r="X101" s="134"/>
      <c r="Y101" s="171"/>
      <c r="Z101" s="171" t="str">
        <f>IF(Teams&gt;30,"Show", "Hide")</f>
        <v>Hide</v>
      </c>
      <c r="AA101" s="158"/>
      <c r="AB101" s="158"/>
      <c r="AC101" s="159"/>
      <c r="AD101" s="159"/>
      <c r="AE101" s="158"/>
      <c r="AF101" s="158"/>
      <c r="AG101" s="159"/>
      <c r="AH101" s="159"/>
      <c r="AI101" s="159"/>
      <c r="AJ101" s="159"/>
      <c r="AK101" s="159"/>
      <c r="AL101" s="159"/>
      <c r="AM101" s="159"/>
      <c r="AN101" s="159"/>
      <c r="AO101" s="159"/>
      <c r="AP101" s="159"/>
      <c r="AQ101" s="159"/>
    </row>
    <row r="102" spans="1:43" s="151" customFormat="1" ht="13.5" hidden="1" customHeight="1" x14ac:dyDescent="0.25">
      <c r="A102" s="430">
        <f>'Tournament Info'!C45</f>
        <v>0</v>
      </c>
      <c r="B102" s="431"/>
      <c r="C102" s="432"/>
      <c r="D102" s="163" t="str">
        <f>IF(COUNTIF('Ballot Entry'!$M$3:$M$37,$A102)=1,"Π",IF(COUNTIF('Ballot Entry'!$N$3:$N$37,$A102)=1,"Δ",""))</f>
        <v/>
      </c>
      <c r="E102" s="164" t="s">
        <v>30</v>
      </c>
      <c r="F102" s="165" t="str">
        <f>IFERROR(IF(D102="Π",VLOOKUP($A102, Round1P,2,FALSE),VLOOKUP($A102,Round1D,2,FALSE)),"")</f>
        <v/>
      </c>
      <c r="G102" s="163" t="str">
        <f>IF(COUNTIF('Ballot Entry'!$M$109:$M$143,$A102)=1,"Π",IF(COUNTIF('Ballot Entry'!$N$109:$N$143,$A102)=1,"Δ",""))</f>
        <v/>
      </c>
      <c r="H102" s="164" t="s">
        <v>30</v>
      </c>
      <c r="I102" s="165" t="str">
        <f>IFERROR(IF(G102="Π",VLOOKUP($A102, Round2P,2,FALSE),VLOOKUP($A102,Round2D,2,FALSE)),"")</f>
        <v/>
      </c>
      <c r="J102" s="163" t="str">
        <f>IF(COUNTIF('Ballot Entry'!$M$215:$M$249,$A102)=1,"Π",IF(COUNTIF('Ballot Entry'!$N$215:$N$249,$A102)=1,"Δ",""))</f>
        <v/>
      </c>
      <c r="K102" s="164" t="s">
        <v>30</v>
      </c>
      <c r="L102" s="165" t="str">
        <f>IFERROR(IF(J102="Π",VLOOKUP($A102, Round3P,2,FALSE),VLOOKUP($A102,Round3D,2,FALSE)),"")</f>
        <v/>
      </c>
      <c r="M102" s="163" t="str">
        <f>IF(COUNTIF('Ballot Entry'!$M$321:$M$355,$A102)=1,"Π",IF(COUNTIF('Ballot Entry'!$N$321:$N$355,$A102)=1,"Δ",""))</f>
        <v/>
      </c>
      <c r="N102" s="164" t="s">
        <v>30</v>
      </c>
      <c r="O102" s="165" t="str">
        <f>IFERROR(IF(M102="Π",VLOOKUP($A102, Round4P,2,FALSE),VLOOKUP($A102,Round4D,2,FALSE)),"")</f>
        <v/>
      </c>
      <c r="P102" s="166">
        <f>COUNTIF(D103:O103,"W")</f>
        <v>0</v>
      </c>
      <c r="Q102" s="167" t="s">
        <v>34</v>
      </c>
      <c r="R102" s="168">
        <f>COUNTIF(D103:O103,"L")</f>
        <v>0</v>
      </c>
      <c r="S102" s="169" t="s">
        <v>34</v>
      </c>
      <c r="T102" s="170">
        <f>COUNTIF(D103:O103,"T")</f>
        <v>0</v>
      </c>
      <c r="U102" s="124">
        <f>IFERROR(VLOOKUP('Tab Summary'!F102,TeamRecord,4,FALSE ),0)</f>
        <v>0</v>
      </c>
      <c r="V102" s="125">
        <f>IFERROR(VLOOKUP('Tab Summary'!I102,TeamRecord,4,FALSE ),0)</f>
        <v>0</v>
      </c>
      <c r="W102" s="126">
        <f>IFERROR(VLOOKUP('Tab Summary'!F102,TeamRecord,6,FALSE ),0)</f>
        <v>0</v>
      </c>
      <c r="X102" s="124">
        <f>IFERROR(VLOOKUP('Tab Summary'!I102,TeamRecord,6,FALSE ),0)</f>
        <v>0</v>
      </c>
      <c r="Y102" s="171">
        <f>IF(COUNTIF('Ballot Entry'!$X$3:$X$221,(P102+(T102/2)))=2,IF((P102+(T102/2))=U102,IF(COUNTIF(D103:F103,"W")&gt;COUNTIF(D103:F103,"L"),F102,0),0)+IF((P102+(T102/2))=V102,IF(COUNTIF(G103:I103,"W")&gt;COUNTIF(G103:I103,"L"),I102,0),0)+IF((P102+(T102/2))=U103,IF(COUNTIF(J103:L103,"W")&gt;COUNTIF(J103:L103,"L"),L102,0),0)+IF((P102+(T102/2))=V103,IF(COUNTIF(M103:O103,"W")&gt;COUNTIF(M103:O103,"L"),O102,0),0),0)</f>
        <v>0</v>
      </c>
      <c r="Z102" s="171" t="str">
        <f>IF(Teams&gt;30,"Show", "Hide")</f>
        <v>Hide</v>
      </c>
      <c r="AA102" s="158"/>
      <c r="AB102" s="158"/>
      <c r="AC102" s="159"/>
      <c r="AD102" s="159"/>
      <c r="AE102" s="158"/>
      <c r="AF102" s="158"/>
      <c r="AG102" s="159"/>
      <c r="AH102" s="159"/>
      <c r="AI102" s="159"/>
      <c r="AJ102" s="159"/>
      <c r="AK102" s="159"/>
      <c r="AL102" s="159"/>
      <c r="AM102" s="159"/>
      <c r="AN102" s="159"/>
      <c r="AO102" s="159"/>
      <c r="AP102" s="159"/>
      <c r="AQ102" s="159"/>
    </row>
    <row r="103" spans="1:43" s="151" customFormat="1" ht="12.75" hidden="1" customHeight="1" x14ac:dyDescent="0.25">
      <c r="A103" s="433">
        <f>'Tournament Info'!B45</f>
        <v>0</v>
      </c>
      <c r="B103" s="434"/>
      <c r="C103" s="435"/>
      <c r="D103" s="172" t="str">
        <f t="shared" ref="D103:O103" si="30">IF(D104="","",IF(D104&gt;0,"W",IF(D104&lt;0,"L",IF(D104=0,"T"))))</f>
        <v/>
      </c>
      <c r="E103" s="173" t="str">
        <f t="shared" si="30"/>
        <v/>
      </c>
      <c r="F103" s="174" t="str">
        <f t="shared" si="30"/>
        <v/>
      </c>
      <c r="G103" s="172" t="str">
        <f t="shared" si="30"/>
        <v/>
      </c>
      <c r="H103" s="173" t="str">
        <f t="shared" si="30"/>
        <v/>
      </c>
      <c r="I103" s="174" t="str">
        <f t="shared" si="30"/>
        <v/>
      </c>
      <c r="J103" s="172" t="str">
        <f t="shared" si="30"/>
        <v/>
      </c>
      <c r="K103" s="173" t="str">
        <f t="shared" si="30"/>
        <v/>
      </c>
      <c r="L103" s="174" t="str">
        <f t="shared" si="30"/>
        <v/>
      </c>
      <c r="M103" s="172" t="str">
        <f t="shared" si="30"/>
        <v/>
      </c>
      <c r="N103" s="173" t="str">
        <f t="shared" si="30"/>
        <v/>
      </c>
      <c r="O103" s="174" t="str">
        <f t="shared" si="30"/>
        <v/>
      </c>
      <c r="P103" s="175" t="s">
        <v>35</v>
      </c>
      <c r="Q103" s="176"/>
      <c r="R103" s="176" t="s">
        <v>36</v>
      </c>
      <c r="S103" s="176"/>
      <c r="T103" s="177" t="s">
        <v>31</v>
      </c>
      <c r="U103" s="127">
        <f>IFERROR(VLOOKUP('Tab Summary'!L102,TeamRecord,4,FALSE ),0)</f>
        <v>0</v>
      </c>
      <c r="V103" s="128">
        <f>IFERROR(VLOOKUP('Tab Summary'!O102,TeamRecord,4,FALSE ),0)</f>
        <v>0</v>
      </c>
      <c r="W103" s="129">
        <f>IFERROR(VLOOKUP('Tab Summary'!L102,TeamRecord,6,FALSE ),0)</f>
        <v>0</v>
      </c>
      <c r="X103" s="127">
        <f>IFERROR(VLOOKUP('Tab Summary'!O102,TeamRecord,6,FALSE ),0)</f>
        <v>0</v>
      </c>
      <c r="Y103" s="171">
        <f>IF(Y102&lt;&gt;0,(IF(COUNTIF('Ballot Entry'!$Z$3:$Z$35,'Tab Summary'!P104)=2,IF(P104=W102,IF(COUNTIF(D103:F103,"W")&gt;COUNTIF(D103:F103,"L"),1,0),0)+IF(P104=X102,IF(COUNTIF(G103:I103,"W")&gt;COUNTIF(G103:I103,"L"),1,0),0)+IF(P104=W103,IF(COUNTIF(J103:L103,"W")&gt;COUNTIF(J103:L103,"L"),1,0),0)+IF(P104=X103,IF(COUNTIF(M103:O103,"W")&gt;COUNTIF(M103:O103,"L"),1,0),0),0)),0)</f>
        <v>0</v>
      </c>
      <c r="Z103" s="171" t="str">
        <f>IF(Teams&gt;30,"Show", "Hide")</f>
        <v>Hide</v>
      </c>
      <c r="AA103" s="158"/>
      <c r="AB103" s="158"/>
      <c r="AC103" s="159"/>
      <c r="AD103" s="159"/>
      <c r="AE103" s="158"/>
      <c r="AF103" s="158"/>
      <c r="AG103" s="159"/>
      <c r="AH103" s="159"/>
      <c r="AI103" s="159"/>
      <c r="AJ103" s="159"/>
      <c r="AK103" s="159"/>
      <c r="AL103" s="159"/>
      <c r="AM103" s="159"/>
      <c r="AN103" s="159"/>
      <c r="AO103" s="159"/>
      <c r="AP103" s="159"/>
      <c r="AQ103" s="159"/>
    </row>
    <row r="104" spans="1:43" s="151" customFormat="1" ht="13.5" hidden="1" customHeight="1" thickBot="1" x14ac:dyDescent="0.3">
      <c r="A104" s="436"/>
      <c r="B104" s="437"/>
      <c r="C104" s="438"/>
      <c r="D104" s="178" t="str">
        <f>IFERROR(IF(D102="Π",VLOOKUP($A102, Round1P,3,FALSE),VLOOKUP($A102,Round1D,3,FALSE)),"")</f>
        <v/>
      </c>
      <c r="E104" s="179" t="str">
        <f>IFERROR(IF(Ballots=3,IF(D102="Π",VLOOKUP($A102, Round1P,5,FALSE),VLOOKUP($A102,Round1D,5,FALSE)),""),"")</f>
        <v/>
      </c>
      <c r="F104" s="180" t="str">
        <f>IFERROR(IF(D102="Π",VLOOKUP($A102, Round1P,4,FALSE),VLOOKUP($A102,Round1D,4,FALSE)),"")</f>
        <v/>
      </c>
      <c r="G104" s="178" t="str">
        <f>IFERROR(IF(G102="Π",VLOOKUP($A102, Round2P,3,FALSE),VLOOKUP($A102,Round2D,3,FALSE)),"")</f>
        <v/>
      </c>
      <c r="H104" s="179" t="str">
        <f>IFERROR(IF(Ballots=3,IF(G102="Π",VLOOKUP($A102, Round2P,5,FALSE),VLOOKUP($A102,Round2D,5,FALSE)),""),"")</f>
        <v/>
      </c>
      <c r="I104" s="180" t="str">
        <f>IFERROR(IF(G102="Π",VLOOKUP($A102, Round2P,4,FALSE),VLOOKUP($A102,Round2D,4,FALSE)),"")</f>
        <v/>
      </c>
      <c r="J104" s="178" t="str">
        <f>IFERROR(IF(J102="Π",VLOOKUP($A102, Round3P,3,FALSE),VLOOKUP($A102,Round3D,3,FALSE)),"")</f>
        <v/>
      </c>
      <c r="K104" s="179" t="str">
        <f>IFERROR(IF(Ballots=3,IF(J102="Π",VLOOKUP($A102, Round3P,5,FALSE),VLOOKUP($A102,Round3D,5,FALSE)),""),"")</f>
        <v/>
      </c>
      <c r="L104" s="180" t="str">
        <f>IFERROR(IF(J102="Π",VLOOKUP($A102, Round3P,4,FALSE),VLOOKUP($A102,Round3D,4,FALSE)),"")</f>
        <v/>
      </c>
      <c r="M104" s="178" t="str">
        <f>IFERROR(IF(M102="Π",VLOOKUP($A102, Round4P,3,FALSE),VLOOKUP($A102,Round4D,3,FALSE)),"")</f>
        <v/>
      </c>
      <c r="N104" s="179" t="str">
        <f>IFERROR(IF(Ballots=3,IF(M102="Π",VLOOKUP($A102, Round4P,5,FALSE),VLOOKUP($A102,Round4D,5,FALSE)),""),"")</f>
        <v/>
      </c>
      <c r="O104" s="180" t="str">
        <f>IFERROR(IF(M102="Π",VLOOKUP($A102, Round4P,4,FALSE),VLOOKUP($A102,Round4D,4,FALSE)),"")</f>
        <v/>
      </c>
      <c r="P104" s="181">
        <f>'Tab Summary'!U102+'Tab Summary'!V102+'Tab Summary'!U103+'Tab Summary'!V103</f>
        <v>0</v>
      </c>
      <c r="Q104" s="182"/>
      <c r="R104" s="183">
        <f>SUM('Tab Summary'!W102:X103)</f>
        <v>0</v>
      </c>
      <c r="S104" s="184"/>
      <c r="T104" s="185">
        <f>SUM(D104:O104)</f>
        <v>0</v>
      </c>
      <c r="U104" s="130" t="s">
        <v>67</v>
      </c>
      <c r="V104" s="131">
        <f>IF(D102="Π",COUNTIF(D103:F103,"W"),0)+IF(G102="Π",COUNTIF(G103:I103,"W"),0)+IF(J102="Π",COUNTIF(J103:L103,"W"),0)+IF(M102="Π",COUNTIF(M103:O103,"W"),0)</f>
        <v>0</v>
      </c>
      <c r="W104" s="132" t="s">
        <v>68</v>
      </c>
      <c r="X104" s="130">
        <f>IF(D102="Δ",COUNTIF(D103:F103,"W"),0)+IF(G102="Δ",COUNTIF(G103:I103,"W"),0)+IF(J102="Δ",COUNTIF(J103:L103,"W"),0)+IF(M102="Δ",COUNTIF(M103:O103,"W"),0)</f>
        <v>0</v>
      </c>
      <c r="Y104" s="171"/>
      <c r="Z104" s="171" t="str">
        <f>IF(Teams&gt;30,"Show", "Hide")</f>
        <v>Hide</v>
      </c>
      <c r="AA104" s="158"/>
      <c r="AB104" s="158"/>
      <c r="AC104" s="159"/>
      <c r="AD104" s="159"/>
      <c r="AE104" s="158"/>
      <c r="AF104" s="158"/>
      <c r="AG104" s="159"/>
      <c r="AH104" s="159"/>
      <c r="AI104" s="159"/>
      <c r="AJ104" s="159"/>
      <c r="AK104" s="159"/>
      <c r="AL104" s="159"/>
      <c r="AM104" s="159"/>
      <c r="AN104" s="159"/>
      <c r="AO104" s="159"/>
      <c r="AP104" s="159"/>
      <c r="AQ104" s="159"/>
    </row>
    <row r="105" spans="1:43" s="151" customFormat="1" ht="13.5" hidden="1" customHeight="1" x14ac:dyDescent="0.25">
      <c r="A105" s="439">
        <f>'Tournament Info'!C46</f>
        <v>0</v>
      </c>
      <c r="B105" s="440"/>
      <c r="C105" s="441"/>
      <c r="D105" s="186" t="str">
        <f>IF(COUNTIF('Ballot Entry'!$M$3:$M$37,$A105)=1,"Π",IF(COUNTIF('Ballot Entry'!$N$3:$N$37,$A105)=1,"Δ",""))</f>
        <v/>
      </c>
      <c r="E105" s="187" t="s">
        <v>30</v>
      </c>
      <c r="F105" s="188" t="str">
        <f>IFERROR(IF(D105="Π",VLOOKUP($A105, Round1P,2,FALSE),VLOOKUP($A105,Round1D,2,FALSE)),"")</f>
        <v/>
      </c>
      <c r="G105" s="186" t="str">
        <f>IF(COUNTIF('Ballot Entry'!$M$109:$M$143,$A105)=1,"Π",IF(COUNTIF('Ballot Entry'!$N$109:$N$143,$A105)=1,"Δ",""))</f>
        <v/>
      </c>
      <c r="H105" s="187" t="s">
        <v>30</v>
      </c>
      <c r="I105" s="188" t="str">
        <f>IFERROR(IF(G105="Π",VLOOKUP($A105, Round2P,2,FALSE),VLOOKUP($A105,Round2D,2,FALSE)),"")</f>
        <v/>
      </c>
      <c r="J105" s="186" t="str">
        <f>IF(COUNTIF('Ballot Entry'!$M$215:$M$249,$A105)=1,"Π",IF(COUNTIF('Ballot Entry'!$N$215:$N$249,$A105)=1,"Δ",""))</f>
        <v/>
      </c>
      <c r="K105" s="187" t="s">
        <v>30</v>
      </c>
      <c r="L105" s="188" t="str">
        <f>IFERROR(IF(J105="Π",VLOOKUP($A105, Round3P,2,FALSE),VLOOKUP($A105,Round3D,2,FALSE)),"")</f>
        <v/>
      </c>
      <c r="M105" s="186" t="str">
        <f>IF(COUNTIF('Ballot Entry'!$M$321:$M$355,$A105)=1,"Π",IF(COUNTIF('Ballot Entry'!$N$321:$N$355,$A105)=1,"Δ",""))</f>
        <v/>
      </c>
      <c r="N105" s="187" t="s">
        <v>30</v>
      </c>
      <c r="O105" s="188" t="str">
        <f>IFERROR(IF(M105="Π",VLOOKUP($A105, Round4P,2,FALSE),VLOOKUP($A105,Round4D,2,FALSE)),"")</f>
        <v/>
      </c>
      <c r="P105" s="189">
        <f>COUNTIF(D106:O106,"W")</f>
        <v>0</v>
      </c>
      <c r="Q105" s="190" t="s">
        <v>34</v>
      </c>
      <c r="R105" s="191">
        <f>COUNTIF(D106:O106,"L")</f>
        <v>0</v>
      </c>
      <c r="S105" s="192" t="s">
        <v>34</v>
      </c>
      <c r="T105" s="193">
        <f>COUNTIF(D106:O106,"T")</f>
        <v>0</v>
      </c>
      <c r="U105" s="124">
        <f>IFERROR(VLOOKUP('Tab Summary'!F105,TeamRecord,4,FALSE ),0)</f>
        <v>0</v>
      </c>
      <c r="V105" s="125">
        <f>IFERROR(VLOOKUP('Tab Summary'!I105,TeamRecord,4,FALSE ),0)</f>
        <v>0</v>
      </c>
      <c r="W105" s="126">
        <f>IFERROR(VLOOKUP('Tab Summary'!F105,TeamRecord,6,FALSE ),0)</f>
        <v>0</v>
      </c>
      <c r="X105" s="124">
        <f>IFERROR(VLOOKUP('Tab Summary'!I105,TeamRecord,6,FALSE ),0)</f>
        <v>0</v>
      </c>
      <c r="Y105" s="171">
        <f>IF(COUNTIF('Ballot Entry'!$X$3:$X$221,(P105+(T105/2)))=2,IF((P105+(T105/2))=U105,IF(COUNTIF(D106:F106,"W")&gt;COUNTIF(D106:F106,"L"),F105,0),0)+IF((P105+(T105/2))=V105,IF(COUNTIF(G106:I106,"W")&gt;COUNTIF(G106:I106,"L"),I105,0),0)+IF((P105+(T105/2))=U106,IF(COUNTIF(J106:L106,"W")&gt;COUNTIF(J106:L106,"L"),L105,0),0)+IF((P105+(T105/2))=V106,IF(COUNTIF(M106:O106,"W")&gt;COUNTIF(M106:O106,"L"),O105,0),0),0)</f>
        <v>0</v>
      </c>
      <c r="Z105" s="171" t="str">
        <f>IF(Teams&gt;31,"Show", "Hide")</f>
        <v>Hide</v>
      </c>
      <c r="AA105" s="158"/>
      <c r="AB105" s="158"/>
      <c r="AC105" s="159"/>
      <c r="AD105" s="159"/>
      <c r="AE105" s="158"/>
      <c r="AF105" s="158"/>
      <c r="AG105" s="159"/>
      <c r="AH105" s="159"/>
      <c r="AI105" s="159"/>
      <c r="AJ105" s="159"/>
      <c r="AK105" s="159"/>
      <c r="AL105" s="159"/>
      <c r="AM105" s="159"/>
      <c r="AN105" s="159"/>
      <c r="AO105" s="159"/>
      <c r="AP105" s="159"/>
      <c r="AQ105" s="159"/>
    </row>
    <row r="106" spans="1:43" s="151" customFormat="1" ht="12.75" hidden="1" customHeight="1" x14ac:dyDescent="0.25">
      <c r="A106" s="424">
        <f>'Tournament Info'!B46</f>
        <v>0</v>
      </c>
      <c r="B106" s="425"/>
      <c r="C106" s="426"/>
      <c r="D106" s="194" t="str">
        <f t="shared" ref="D106:O106" si="31">IF(D107="","",IF(D107&gt;0,"W",IF(D107&lt;0,"L",IF(D107=0,"T"))))</f>
        <v/>
      </c>
      <c r="E106" s="195" t="str">
        <f t="shared" si="31"/>
        <v/>
      </c>
      <c r="F106" s="196" t="str">
        <f t="shared" si="31"/>
        <v/>
      </c>
      <c r="G106" s="194" t="str">
        <f t="shared" si="31"/>
        <v/>
      </c>
      <c r="H106" s="195" t="str">
        <f t="shared" si="31"/>
        <v/>
      </c>
      <c r="I106" s="196" t="str">
        <f t="shared" si="31"/>
        <v/>
      </c>
      <c r="J106" s="194" t="str">
        <f t="shared" si="31"/>
        <v/>
      </c>
      <c r="K106" s="195" t="str">
        <f t="shared" si="31"/>
        <v/>
      </c>
      <c r="L106" s="196" t="str">
        <f t="shared" si="31"/>
        <v/>
      </c>
      <c r="M106" s="194" t="str">
        <f t="shared" si="31"/>
        <v/>
      </c>
      <c r="N106" s="195" t="str">
        <f t="shared" si="31"/>
        <v/>
      </c>
      <c r="O106" s="196" t="str">
        <f t="shared" si="31"/>
        <v/>
      </c>
      <c r="P106" s="197" t="s">
        <v>35</v>
      </c>
      <c r="Q106" s="198"/>
      <c r="R106" s="198" t="s">
        <v>36</v>
      </c>
      <c r="S106" s="198"/>
      <c r="T106" s="199" t="s">
        <v>31</v>
      </c>
      <c r="U106" s="127">
        <f>IFERROR(VLOOKUP('Tab Summary'!L105,TeamRecord,4,FALSE ),0)</f>
        <v>0</v>
      </c>
      <c r="V106" s="128">
        <f>IFERROR(VLOOKUP('Tab Summary'!O105,TeamRecord,4,FALSE ),0)</f>
        <v>0</v>
      </c>
      <c r="W106" s="129">
        <f>IFERROR(VLOOKUP('Tab Summary'!L105,TeamRecord,6,FALSE ),0)</f>
        <v>0</v>
      </c>
      <c r="X106" s="127">
        <f>IFERROR(VLOOKUP('Tab Summary'!O105,TeamRecord,6,FALSE ),0)</f>
        <v>0</v>
      </c>
      <c r="Y106" s="171">
        <f>IF(Y105&lt;&gt;0,(IF(COUNTIF('Ballot Entry'!$Z$3:$Z$35,'Tab Summary'!P107)=2,IF(P107=W105,IF(COUNTIF(D106:F106,"W")&gt;COUNTIF(D106:F106,"L"),1,0),0)+IF(P107=X105,IF(COUNTIF(G106:I106,"W")&gt;COUNTIF(G106:I106,"L"),1,0),0)+IF(P107=W106,IF(COUNTIF(J106:L106,"W")&gt;COUNTIF(J106:L106,"L"),1,0),0)+IF(P107=X106,IF(COUNTIF(M106:O106,"W")&gt;COUNTIF(M106:O106,"L"),1,0),0),0)),0)</f>
        <v>0</v>
      </c>
      <c r="Z106" s="171" t="str">
        <f>IF(Teams&gt;31,"Show", "Hide")</f>
        <v>Hide</v>
      </c>
      <c r="AA106" s="158"/>
      <c r="AB106" s="158"/>
      <c r="AC106" s="159"/>
      <c r="AD106" s="159"/>
      <c r="AE106" s="158"/>
      <c r="AF106" s="158"/>
      <c r="AG106" s="159"/>
      <c r="AH106" s="159"/>
      <c r="AI106" s="159"/>
      <c r="AJ106" s="159"/>
      <c r="AK106" s="159"/>
      <c r="AL106" s="159"/>
      <c r="AM106" s="159"/>
      <c r="AN106" s="159"/>
      <c r="AO106" s="159"/>
      <c r="AP106" s="159"/>
      <c r="AQ106" s="159"/>
    </row>
    <row r="107" spans="1:43" s="151" customFormat="1" ht="13.5" hidden="1" customHeight="1" thickBot="1" x14ac:dyDescent="0.3">
      <c r="A107" s="427"/>
      <c r="B107" s="428"/>
      <c r="C107" s="429"/>
      <c r="D107" s="200" t="str">
        <f>IFERROR(IF(D105="Π",VLOOKUP($A105, Round1P,3,FALSE),VLOOKUP($A105,Round1D,3,FALSE)),"")</f>
        <v/>
      </c>
      <c r="E107" s="201" t="str">
        <f>IFERROR(IF(Ballots=3,IF(D105="Π",VLOOKUP($A105, Round1P,5,FALSE),VLOOKUP($A105,Round1D,5,FALSE)),""),"")</f>
        <v/>
      </c>
      <c r="F107" s="202" t="str">
        <f>IFERROR(IF(D105="Π",VLOOKUP($A105, Round1P,4,FALSE),VLOOKUP($A105,Round1D,4,FALSE)),"")</f>
        <v/>
      </c>
      <c r="G107" s="200" t="str">
        <f>IFERROR(IF(G105="Π",VLOOKUP($A105, Round2P,3,FALSE),VLOOKUP($A105,Round2D,3,FALSE)),"")</f>
        <v/>
      </c>
      <c r="H107" s="201" t="str">
        <f>IFERROR(IF(Ballots=3,IF(G105="Π",VLOOKUP($A105, Round2P,5,FALSE),VLOOKUP($A105,Round2D,5,FALSE)),""),"")</f>
        <v/>
      </c>
      <c r="I107" s="202" t="str">
        <f>IFERROR(IF(G105="Π",VLOOKUP($A105, Round2P,4,FALSE),VLOOKUP($A105,Round2D,4,FALSE)),"")</f>
        <v/>
      </c>
      <c r="J107" s="200" t="str">
        <f>IFERROR(IF(J105="Π",VLOOKUP($A105, Round3P,3,FALSE),VLOOKUP($A105,Round3D,3,FALSE)),"")</f>
        <v/>
      </c>
      <c r="K107" s="201" t="str">
        <f>IFERROR(IF(Ballots=3,IF(J105="Π",VLOOKUP($A105, Round3P,5,FALSE),VLOOKUP($A105,Round3D,5,FALSE)),""),"")</f>
        <v/>
      </c>
      <c r="L107" s="202" t="str">
        <f>IFERROR(IF(J105="Π",VLOOKUP($A105, Round3P,4,FALSE),VLOOKUP($A105,Round3D,4,FALSE)),"")</f>
        <v/>
      </c>
      <c r="M107" s="200" t="str">
        <f>IFERROR(IF(M105="Π",VLOOKUP($A105, Round4P,3,FALSE),VLOOKUP($A105,Round4D,3,FALSE)),"")</f>
        <v/>
      </c>
      <c r="N107" s="201" t="str">
        <f>IFERROR(IF(Ballots=3,IF(M105="Π",VLOOKUP($A105, Round4P,5,FALSE),VLOOKUP($A105,Round4D,5,FALSE)),""),"")</f>
        <v/>
      </c>
      <c r="O107" s="202" t="str">
        <f>IFERROR(IF(M105="Π",VLOOKUP($A105, Round4P,4,FALSE),VLOOKUP($A105,Round4D,4,FALSE)),"")</f>
        <v/>
      </c>
      <c r="P107" s="203">
        <f>'Tab Summary'!U105+'Tab Summary'!V105+'Tab Summary'!U106+'Tab Summary'!V106</f>
        <v>0</v>
      </c>
      <c r="Q107" s="204"/>
      <c r="R107" s="205">
        <f>SUM('Tab Summary'!W105:X106)</f>
        <v>0</v>
      </c>
      <c r="S107" s="206"/>
      <c r="T107" s="207">
        <f>SUM(D107:O107)</f>
        <v>0</v>
      </c>
      <c r="U107" s="130" t="s">
        <v>67</v>
      </c>
      <c r="V107" s="131">
        <f>IF(D105="Π",COUNTIF(D106:F106,"W"),0)+IF(G105="Π",COUNTIF(G106:I106,"W"),0)+IF(J105="Π",COUNTIF(J106:L106,"W"),0)+IF(M105="Π",COUNTIF(M106:O106,"W"),0)</f>
        <v>0</v>
      </c>
      <c r="W107" s="132" t="s">
        <v>68</v>
      </c>
      <c r="X107" s="130">
        <f>IF(D105="Δ",COUNTIF(D106:F106,"W"),0)+IF(G105="Δ",COUNTIF(G106:I106,"W"),0)+IF(J105="Δ",COUNTIF(J106:L106,"W"),0)+IF(M105="Δ",COUNTIF(M106:O106,"W"),0)</f>
        <v>0</v>
      </c>
      <c r="Y107" s="171"/>
      <c r="Z107" s="171" t="str">
        <f>IF(Teams&gt;31,"Show", "Hide")</f>
        <v>Hide</v>
      </c>
      <c r="AA107" s="158"/>
      <c r="AB107" s="158"/>
      <c r="AC107" s="159"/>
      <c r="AD107" s="159"/>
      <c r="AE107" s="158"/>
      <c r="AF107" s="158"/>
      <c r="AG107" s="159"/>
      <c r="AH107" s="159"/>
      <c r="AI107" s="159"/>
      <c r="AJ107" s="159"/>
      <c r="AK107" s="159"/>
      <c r="AL107" s="159"/>
      <c r="AM107" s="159"/>
      <c r="AN107" s="159"/>
      <c r="AO107" s="159"/>
      <c r="AP107" s="159"/>
      <c r="AQ107" s="159"/>
    </row>
    <row r="108" spans="1:43" s="151" customFormat="1" ht="13.5" hidden="1" customHeight="1" x14ac:dyDescent="0.25">
      <c r="A108" s="430">
        <f>'Tournament Info'!C47</f>
        <v>0</v>
      </c>
      <c r="B108" s="431"/>
      <c r="C108" s="432"/>
      <c r="D108" s="163" t="str">
        <f>IF(COUNTIF('Ballot Entry'!$M$3:$M$37,$A108)=1,"Π",IF(COUNTIF('Ballot Entry'!$N$3:$N$37,$A108)=1,"Δ",""))</f>
        <v/>
      </c>
      <c r="E108" s="164" t="s">
        <v>30</v>
      </c>
      <c r="F108" s="165" t="str">
        <f>IFERROR(IF(D108="Π",VLOOKUP($A108, Round1P,2,FALSE),VLOOKUP($A108,Round1D,2,FALSE)),"")</f>
        <v/>
      </c>
      <c r="G108" s="163" t="str">
        <f>IF(COUNTIF('Ballot Entry'!$M$109:$M$143,$A108)=1,"Π",IF(COUNTIF('Ballot Entry'!$N$109:$N$143,$A108)=1,"Δ",""))</f>
        <v/>
      </c>
      <c r="H108" s="164" t="s">
        <v>30</v>
      </c>
      <c r="I108" s="165" t="str">
        <f>IFERROR(IF(G108="Π",VLOOKUP($A108, Round2P,2,FALSE),VLOOKUP($A108,Round2D,2,FALSE)),"")</f>
        <v/>
      </c>
      <c r="J108" s="163" t="str">
        <f>IF(COUNTIF('Ballot Entry'!$M$215:$M$249,$A108)=1,"Π",IF(COUNTIF('Ballot Entry'!$N$215:$N$249,$A108)=1,"Δ",""))</f>
        <v/>
      </c>
      <c r="K108" s="164" t="s">
        <v>30</v>
      </c>
      <c r="L108" s="165" t="str">
        <f>IFERROR(IF(J108="Π",VLOOKUP($A108, Round3P,2,FALSE),VLOOKUP($A108,Round3D,2,FALSE)),"")</f>
        <v/>
      </c>
      <c r="M108" s="163" t="str">
        <f>IF(COUNTIF('Ballot Entry'!$M$321:$M$355,$A108)=1,"Π",IF(COUNTIF('Ballot Entry'!$N$321:$N$355,$A108)=1,"Δ",""))</f>
        <v/>
      </c>
      <c r="N108" s="164" t="s">
        <v>30</v>
      </c>
      <c r="O108" s="165" t="str">
        <f>IFERROR(IF(M108="Π",VLOOKUP($A108, Round4P,2,FALSE),VLOOKUP($A108,Round4D,2,FALSE)),"")</f>
        <v/>
      </c>
      <c r="P108" s="166">
        <f>COUNTIF(D109:O109,"W")</f>
        <v>0</v>
      </c>
      <c r="Q108" s="167" t="s">
        <v>34</v>
      </c>
      <c r="R108" s="168">
        <f>COUNTIF(D109:O109,"L")</f>
        <v>0</v>
      </c>
      <c r="S108" s="169" t="s">
        <v>34</v>
      </c>
      <c r="T108" s="170">
        <f>COUNTIF(D109:O109,"T")</f>
        <v>0</v>
      </c>
      <c r="U108" s="124">
        <f>IFERROR(VLOOKUP('Tab Summary'!F108,TeamRecord,4,FALSE ),0)</f>
        <v>0</v>
      </c>
      <c r="V108" s="125">
        <f>IFERROR(VLOOKUP('Tab Summary'!I108,TeamRecord,4,FALSE ),0)</f>
        <v>0</v>
      </c>
      <c r="W108" s="126">
        <f>IFERROR(VLOOKUP('Tab Summary'!F108,TeamRecord,6,FALSE ),0)</f>
        <v>0</v>
      </c>
      <c r="X108" s="124">
        <f>IFERROR(VLOOKUP('Tab Summary'!I108,TeamRecord,6,FALSE ),0)</f>
        <v>0</v>
      </c>
      <c r="Y108" s="171">
        <f>IF(COUNTIF('Ballot Entry'!$X$3:$X$221,(P108+(T108/2)))=2,IF((P108+(T108/2))=U108,IF(COUNTIF(D109:F109,"W")&gt;COUNTIF(D109:F109,"L"),F108,0),0)+IF((P108+(T108/2))=V108,IF(COUNTIF(G109:I109,"W")&gt;COUNTIF(G109:I109,"L"),I108,0),0)+IF((P108+(T108/2))=U109,IF(COUNTIF(J109:L109,"W")&gt;COUNTIF(J109:L109,"L"),L108,0),0)+IF((P108+(T108/2))=V109,IF(COUNTIF(M109:O109,"W")&gt;COUNTIF(M109:O109,"L"),O108,0),0),0)</f>
        <v>0</v>
      </c>
      <c r="Z108" s="171" t="str">
        <f>IF(Teams&gt;32,"Show", "Hide")</f>
        <v>Hide</v>
      </c>
      <c r="AA108" s="158"/>
      <c r="AB108" s="158"/>
      <c r="AC108" s="159"/>
      <c r="AD108" s="159"/>
      <c r="AE108" s="158"/>
      <c r="AF108" s="158"/>
      <c r="AG108" s="159"/>
      <c r="AH108" s="159"/>
      <c r="AI108" s="159"/>
      <c r="AJ108" s="159"/>
      <c r="AK108" s="159"/>
      <c r="AL108" s="159"/>
      <c r="AM108" s="159"/>
      <c r="AN108" s="159"/>
      <c r="AO108" s="159"/>
      <c r="AP108" s="159"/>
      <c r="AQ108" s="159"/>
    </row>
    <row r="109" spans="1:43" s="151" customFormat="1" ht="12.75" hidden="1" customHeight="1" x14ac:dyDescent="0.25">
      <c r="A109" s="433">
        <f>'Tournament Info'!B47</f>
        <v>0</v>
      </c>
      <c r="B109" s="434"/>
      <c r="C109" s="435"/>
      <c r="D109" s="172" t="str">
        <f t="shared" ref="D109:O109" si="32">IF(D110="","",IF(D110&gt;0,"W",IF(D110&lt;0,"L",IF(D110=0,"T"))))</f>
        <v/>
      </c>
      <c r="E109" s="173" t="str">
        <f t="shared" si="32"/>
        <v/>
      </c>
      <c r="F109" s="174" t="str">
        <f t="shared" si="32"/>
        <v/>
      </c>
      <c r="G109" s="172" t="str">
        <f t="shared" si="32"/>
        <v/>
      </c>
      <c r="H109" s="173" t="str">
        <f t="shared" si="32"/>
        <v/>
      </c>
      <c r="I109" s="174" t="str">
        <f t="shared" si="32"/>
        <v/>
      </c>
      <c r="J109" s="172" t="str">
        <f t="shared" si="32"/>
        <v/>
      </c>
      <c r="K109" s="173" t="str">
        <f t="shared" si="32"/>
        <v/>
      </c>
      <c r="L109" s="174" t="str">
        <f t="shared" si="32"/>
        <v/>
      </c>
      <c r="M109" s="172" t="str">
        <f t="shared" si="32"/>
        <v/>
      </c>
      <c r="N109" s="173" t="str">
        <f t="shared" si="32"/>
        <v/>
      </c>
      <c r="O109" s="174" t="str">
        <f t="shared" si="32"/>
        <v/>
      </c>
      <c r="P109" s="175" t="s">
        <v>35</v>
      </c>
      <c r="Q109" s="176"/>
      <c r="R109" s="176" t="s">
        <v>36</v>
      </c>
      <c r="S109" s="176"/>
      <c r="T109" s="177" t="s">
        <v>31</v>
      </c>
      <c r="U109" s="127">
        <f>IFERROR(VLOOKUP('Tab Summary'!L108,TeamRecord,4,FALSE ),0)</f>
        <v>0</v>
      </c>
      <c r="V109" s="128">
        <f>IFERROR(VLOOKUP('Tab Summary'!O108,TeamRecord,4,FALSE ),0)</f>
        <v>0</v>
      </c>
      <c r="W109" s="129">
        <f>IFERROR(VLOOKUP('Tab Summary'!L108,TeamRecord,6,FALSE ),0)</f>
        <v>0</v>
      </c>
      <c r="X109" s="127">
        <f>IFERROR(VLOOKUP('Tab Summary'!O108,TeamRecord,6,FALSE ),0)</f>
        <v>0</v>
      </c>
      <c r="Y109" s="171">
        <f>IF(Y108&lt;&gt;0,(IF(COUNTIF('Ballot Entry'!$Z$3:$Z$35,'Tab Summary'!P110)=2,IF(P110=W108,IF(COUNTIF(D109:F109,"W")&gt;COUNTIF(D109:F109,"L"),1,0),0)+IF(P110=X108,IF(COUNTIF(G109:I109,"W")&gt;COUNTIF(G109:I109,"L"),1,0),0)+IF(P110=W109,IF(COUNTIF(J109:L109,"W")&gt;COUNTIF(J109:L109,"L"),1,0),0)+IF(P110=X109,IF(COUNTIF(M109:O109,"W")&gt;COUNTIF(M109:O109,"L"),1,0),0),0)),0)</f>
        <v>0</v>
      </c>
      <c r="Z109" s="171" t="str">
        <f>IF(Teams&gt;32,"Show", "Hide")</f>
        <v>Hide</v>
      </c>
      <c r="AA109" s="158"/>
      <c r="AB109" s="158"/>
      <c r="AC109" s="159"/>
      <c r="AD109" s="159"/>
      <c r="AE109" s="158"/>
      <c r="AF109" s="158"/>
      <c r="AG109" s="159"/>
      <c r="AH109" s="159"/>
      <c r="AI109" s="159"/>
      <c r="AJ109" s="159"/>
      <c r="AK109" s="159"/>
      <c r="AL109" s="159"/>
      <c r="AM109" s="159"/>
      <c r="AN109" s="159"/>
      <c r="AO109" s="159"/>
      <c r="AP109" s="159"/>
      <c r="AQ109" s="159"/>
    </row>
    <row r="110" spans="1:43" s="151" customFormat="1" ht="13.5" hidden="1" customHeight="1" thickBot="1" x14ac:dyDescent="0.3">
      <c r="A110" s="436"/>
      <c r="B110" s="437"/>
      <c r="C110" s="438"/>
      <c r="D110" s="178" t="str">
        <f>IFERROR(IF(D108="Π",VLOOKUP($A108, Round1P,3,FALSE),VLOOKUP($A108,Round1D,3,FALSE)),"")</f>
        <v/>
      </c>
      <c r="E110" s="179" t="str">
        <f>IFERROR(IF(Ballots=3,IF(D108="Π",VLOOKUP($A108, Round1P,5,FALSE),VLOOKUP($A108,Round1D,5,FALSE)),""),"")</f>
        <v/>
      </c>
      <c r="F110" s="180" t="str">
        <f>IFERROR(IF(D108="Π",VLOOKUP($A108, Round1P,4,FALSE),VLOOKUP($A108,Round1D,4,FALSE)),"")</f>
        <v/>
      </c>
      <c r="G110" s="178" t="str">
        <f>IFERROR(IF(G108="Π",VLOOKUP($A108, Round2P,3,FALSE),VLOOKUP($A108,Round2D,3,FALSE)),"")</f>
        <v/>
      </c>
      <c r="H110" s="179" t="str">
        <f>IFERROR(IF(Ballots=3,IF(G108="Π",VLOOKUP($A108, Round2P,5,FALSE),VLOOKUP($A108,Round2D,5,FALSE)),""),"")</f>
        <v/>
      </c>
      <c r="I110" s="180" t="str">
        <f>IFERROR(IF(G108="Π",VLOOKUP($A108, Round2P,4,FALSE),VLOOKUP($A108,Round2D,4,FALSE)),"")</f>
        <v/>
      </c>
      <c r="J110" s="178" t="str">
        <f>IFERROR(IF(J108="Π",VLOOKUP($A108, Round3P,3,FALSE),VLOOKUP($A108,Round3D,3,FALSE)),"")</f>
        <v/>
      </c>
      <c r="K110" s="179" t="str">
        <f>IFERROR(IF(Ballots=3,IF(J108="Π",VLOOKUP($A108, Round3P,5,FALSE),VLOOKUP($A108,Round3D,5,FALSE)),""),"")</f>
        <v/>
      </c>
      <c r="L110" s="180" t="str">
        <f>IFERROR(IF(J108="Π",VLOOKUP($A108, Round3P,4,FALSE),VLOOKUP($A108,Round3D,4,FALSE)),"")</f>
        <v/>
      </c>
      <c r="M110" s="178" t="str">
        <f>IFERROR(IF(M108="Π",VLOOKUP($A108, Round4P,3,FALSE),VLOOKUP($A108,Round4D,3,FALSE)),"")</f>
        <v/>
      </c>
      <c r="N110" s="179" t="str">
        <f>IFERROR(IF(Ballots=3,IF(M108="Π",VLOOKUP($A108, Round4P,5,FALSE),VLOOKUP($A108,Round4D,5,FALSE)),""),"")</f>
        <v/>
      </c>
      <c r="O110" s="180" t="str">
        <f>IFERROR(IF(M108="Π",VLOOKUP($A108, Round4P,4,FALSE),VLOOKUP($A108,Round4D,4,FALSE)),"")</f>
        <v/>
      </c>
      <c r="P110" s="181">
        <f>'Tab Summary'!U108+'Tab Summary'!V108+'Tab Summary'!U109+'Tab Summary'!V109</f>
        <v>0</v>
      </c>
      <c r="Q110" s="182"/>
      <c r="R110" s="183">
        <f>SUM('Tab Summary'!W108:X109)</f>
        <v>0</v>
      </c>
      <c r="S110" s="184"/>
      <c r="T110" s="185">
        <f>SUM(D110:O110)</f>
        <v>0</v>
      </c>
      <c r="U110" s="130" t="s">
        <v>67</v>
      </c>
      <c r="V110" s="131">
        <f>IF(D108="Π",COUNTIF(D109:F109,"W"),0)+IF(G108="Π",COUNTIF(G109:I109,"W"),0)+IF(J108="Π",COUNTIF(J109:L109,"W"),0)+IF(M108="Π",COUNTIF(M109:O109,"W"),0)</f>
        <v>0</v>
      </c>
      <c r="W110" s="132" t="s">
        <v>68</v>
      </c>
      <c r="X110" s="130">
        <f>IF(D108="Δ",COUNTIF(D109:F109,"W"),0)+IF(G108="Δ",COUNTIF(G109:I109,"W"),0)+IF(J108="Δ",COUNTIF(J109:L109,"W"),0)+IF(M108="Δ",COUNTIF(M109:O109,"W"),0)</f>
        <v>0</v>
      </c>
      <c r="Y110" s="171"/>
      <c r="Z110" s="171" t="str">
        <f>IF(Teams&gt;32,"Show", "Hide")</f>
        <v>Hide</v>
      </c>
      <c r="AA110" s="158"/>
      <c r="AB110" s="158"/>
      <c r="AC110" s="159"/>
      <c r="AD110" s="159"/>
      <c r="AE110" s="158"/>
      <c r="AF110" s="158"/>
      <c r="AG110" s="159"/>
      <c r="AH110" s="159"/>
      <c r="AI110" s="159"/>
      <c r="AJ110" s="159"/>
      <c r="AK110" s="159"/>
      <c r="AL110" s="159"/>
      <c r="AM110" s="159"/>
      <c r="AN110" s="159"/>
      <c r="AO110" s="159"/>
      <c r="AP110" s="159"/>
      <c r="AQ110" s="159"/>
    </row>
    <row r="111" spans="1:43" s="151" customFormat="1" ht="13.5" hidden="1" customHeight="1" x14ac:dyDescent="0.25">
      <c r="A111" s="439">
        <f>'Tournament Info'!C48</f>
        <v>0</v>
      </c>
      <c r="B111" s="440"/>
      <c r="C111" s="441"/>
      <c r="D111" s="186" t="str">
        <f>IF(COUNTIF('Ballot Entry'!$M$3:$M$37,$A111)=1,"Π",IF(COUNTIF('Ballot Entry'!$N$3:$N$37,$A111)=1,"Δ",""))</f>
        <v/>
      </c>
      <c r="E111" s="187" t="s">
        <v>30</v>
      </c>
      <c r="F111" s="188" t="str">
        <f>IFERROR(IF(D111="Π",VLOOKUP($A111, Round1P,2,FALSE),VLOOKUP($A111,Round1D,2,FALSE)),"")</f>
        <v/>
      </c>
      <c r="G111" s="186" t="str">
        <f>IF(COUNTIF('Ballot Entry'!$M$109:$M$143,$A111)=1,"Π",IF(COUNTIF('Ballot Entry'!$N$109:$N$143,$A111)=1,"Δ",""))</f>
        <v/>
      </c>
      <c r="H111" s="187" t="s">
        <v>30</v>
      </c>
      <c r="I111" s="188" t="str">
        <f>IFERROR(IF(G111="Π",VLOOKUP($A111, Round2P,2,FALSE),VLOOKUP($A111,Round2D,2,FALSE)),"")</f>
        <v/>
      </c>
      <c r="J111" s="186" t="str">
        <f>IF(COUNTIF('Ballot Entry'!$M$215:$M$249,$A111)=1,"Π",IF(COUNTIF('Ballot Entry'!$N$215:$N$249,$A111)=1,"Δ",""))</f>
        <v/>
      </c>
      <c r="K111" s="187" t="s">
        <v>30</v>
      </c>
      <c r="L111" s="188" t="str">
        <f>IFERROR(IF(J111="Π",VLOOKUP($A111, Round3P,2,FALSE),VLOOKUP($A111,Round3D,2,FALSE)),"")</f>
        <v/>
      </c>
      <c r="M111" s="186" t="str">
        <f>IF(COUNTIF('Ballot Entry'!$M$321:$M$355,$A111)=1,"Π",IF(COUNTIF('Ballot Entry'!$N$321:$N$355,$A111)=1,"Δ",""))</f>
        <v/>
      </c>
      <c r="N111" s="187" t="s">
        <v>30</v>
      </c>
      <c r="O111" s="188" t="str">
        <f>IFERROR(IF(M111="Π",VLOOKUP($A111, Round4P,2,FALSE),VLOOKUP($A111,Round4D,2,FALSE)),"")</f>
        <v/>
      </c>
      <c r="P111" s="189">
        <f>COUNTIF(D112:O112,"W")</f>
        <v>0</v>
      </c>
      <c r="Q111" s="190" t="s">
        <v>34</v>
      </c>
      <c r="R111" s="191">
        <f>COUNTIF(D112:O112,"L")</f>
        <v>0</v>
      </c>
      <c r="S111" s="192" t="s">
        <v>34</v>
      </c>
      <c r="T111" s="193">
        <f>COUNTIF(D112:O112,"T")</f>
        <v>0</v>
      </c>
      <c r="U111" s="124">
        <f>IFERROR(VLOOKUP('Tab Summary'!F111,TeamRecord,4,FALSE ),0)</f>
        <v>0</v>
      </c>
      <c r="V111" s="125">
        <f>IFERROR(VLOOKUP('Tab Summary'!I111,TeamRecord,4,FALSE ),0)</f>
        <v>0</v>
      </c>
      <c r="W111" s="126">
        <f>IFERROR(VLOOKUP('Tab Summary'!F111,TeamRecord,6,FALSE ),0)</f>
        <v>0</v>
      </c>
      <c r="X111" s="124">
        <f>IFERROR(VLOOKUP('Tab Summary'!I111,TeamRecord,6,FALSE ),0)</f>
        <v>0</v>
      </c>
      <c r="Y111" s="171">
        <f>IF(COUNTIF('Ballot Entry'!$X$3:$X$221,(P111+(T111/2)))=2,IF((P111+(T111/2))=U111,IF(COUNTIF(D112:F112,"W")&gt;COUNTIF(D112:F112,"L"),F111,0),0)+IF((P111+(T111/2))=V111,IF(COUNTIF(G112:I112,"W")&gt;COUNTIF(G112:I112,"L"),I111,0),0)+IF((P111+(T111/2))=U112,IF(COUNTIF(J112:L112,"W")&gt;COUNTIF(J112:L112,"L"),L111,0),0)+IF((P111+(T111/2))=V112,IF(COUNTIF(M112:O112,"W")&gt;COUNTIF(M112:O112,"L"),O111,0),0),0)</f>
        <v>0</v>
      </c>
      <c r="Z111" s="171" t="str">
        <f>IF(Teams&gt;33,"Show", "Hide")</f>
        <v>Hide</v>
      </c>
      <c r="AA111" s="158"/>
      <c r="AB111" s="158"/>
      <c r="AC111" s="159"/>
      <c r="AD111" s="159"/>
      <c r="AE111" s="158"/>
      <c r="AF111" s="158"/>
      <c r="AG111" s="159"/>
      <c r="AH111" s="159"/>
      <c r="AI111" s="159"/>
      <c r="AJ111" s="159"/>
      <c r="AK111" s="159"/>
      <c r="AL111" s="159"/>
      <c r="AM111" s="159"/>
      <c r="AN111" s="159"/>
      <c r="AO111" s="159"/>
      <c r="AP111" s="159"/>
      <c r="AQ111" s="159"/>
    </row>
    <row r="112" spans="1:43" s="151" customFormat="1" ht="12.75" hidden="1" customHeight="1" x14ac:dyDescent="0.25">
      <c r="A112" s="424">
        <f>'Tournament Info'!B48</f>
        <v>0</v>
      </c>
      <c r="B112" s="425"/>
      <c r="C112" s="426"/>
      <c r="D112" s="194" t="str">
        <f t="shared" ref="D112:O112" si="33">IF(D113="","",IF(D113&gt;0,"W",IF(D113&lt;0,"L",IF(D113=0,"T"))))</f>
        <v/>
      </c>
      <c r="E112" s="195" t="str">
        <f t="shared" si="33"/>
        <v/>
      </c>
      <c r="F112" s="196" t="str">
        <f t="shared" si="33"/>
        <v/>
      </c>
      <c r="G112" s="194" t="str">
        <f t="shared" si="33"/>
        <v/>
      </c>
      <c r="H112" s="195" t="str">
        <f t="shared" si="33"/>
        <v/>
      </c>
      <c r="I112" s="196" t="str">
        <f t="shared" si="33"/>
        <v/>
      </c>
      <c r="J112" s="194" t="str">
        <f t="shared" si="33"/>
        <v/>
      </c>
      <c r="K112" s="195" t="str">
        <f t="shared" si="33"/>
        <v/>
      </c>
      <c r="L112" s="196" t="str">
        <f t="shared" si="33"/>
        <v/>
      </c>
      <c r="M112" s="194" t="str">
        <f t="shared" si="33"/>
        <v/>
      </c>
      <c r="N112" s="195" t="str">
        <f t="shared" si="33"/>
        <v/>
      </c>
      <c r="O112" s="196" t="str">
        <f t="shared" si="33"/>
        <v/>
      </c>
      <c r="P112" s="197" t="s">
        <v>35</v>
      </c>
      <c r="Q112" s="198"/>
      <c r="R112" s="198" t="s">
        <v>36</v>
      </c>
      <c r="S112" s="198"/>
      <c r="T112" s="199" t="s">
        <v>31</v>
      </c>
      <c r="U112" s="127">
        <f>IFERROR(VLOOKUP('Tab Summary'!L111,TeamRecord,4,FALSE ),0)</f>
        <v>0</v>
      </c>
      <c r="V112" s="128">
        <f>IFERROR(VLOOKUP('Tab Summary'!O111,TeamRecord,4,FALSE ),0)</f>
        <v>0</v>
      </c>
      <c r="W112" s="129">
        <f>IFERROR(VLOOKUP('Tab Summary'!L111,TeamRecord,6,FALSE ),0)</f>
        <v>0</v>
      </c>
      <c r="X112" s="127">
        <f>IFERROR(VLOOKUP('Tab Summary'!O111,TeamRecord,6,FALSE ),0)</f>
        <v>0</v>
      </c>
      <c r="Y112" s="171">
        <f>IF(Y111&lt;&gt;0,(IF(COUNTIF('Ballot Entry'!$Z$3:$Z$35,'Tab Summary'!P113)=2,IF(P113=W111,IF(COUNTIF(D112:F112,"W")&gt;COUNTIF(D112:F112,"L"),1,0),0)+IF(P113=X111,IF(COUNTIF(G112:I112,"W")&gt;COUNTIF(G112:I112,"L"),1,0),0)+IF(P113=W112,IF(COUNTIF(J112:L112,"W")&gt;COUNTIF(J112:L112,"L"),1,0),0)+IF(P113=X112,IF(COUNTIF(M112:O112,"W")&gt;COUNTIF(M112:O112,"L"),1,0),0),0)),0)</f>
        <v>0</v>
      </c>
      <c r="Z112" s="171" t="str">
        <f>IF(Teams&gt;33,"Show", "Hide")</f>
        <v>Hide</v>
      </c>
      <c r="AA112" s="158"/>
      <c r="AB112" s="158"/>
      <c r="AC112" s="159"/>
      <c r="AD112" s="159"/>
      <c r="AE112" s="158"/>
      <c r="AF112" s="158"/>
      <c r="AG112" s="159"/>
      <c r="AH112" s="159"/>
      <c r="AI112" s="159"/>
      <c r="AJ112" s="159"/>
      <c r="AK112" s="159"/>
      <c r="AL112" s="159"/>
      <c r="AM112" s="159"/>
      <c r="AN112" s="159"/>
      <c r="AO112" s="159"/>
      <c r="AP112" s="159"/>
      <c r="AQ112" s="159"/>
    </row>
    <row r="113" spans="1:43" s="151" customFormat="1" ht="13.5" hidden="1" customHeight="1" thickBot="1" x14ac:dyDescent="0.3">
      <c r="A113" s="427"/>
      <c r="B113" s="428"/>
      <c r="C113" s="429"/>
      <c r="D113" s="200" t="str">
        <f>IFERROR(IF(D111="Π",VLOOKUP($A111, Round1P,3,FALSE),VLOOKUP($A111,Round1D,3,FALSE)),"")</f>
        <v/>
      </c>
      <c r="E113" s="201" t="str">
        <f>IFERROR(IF(Ballots=3,IF(D111="Π",VLOOKUP($A111, Round1P,5,FALSE),VLOOKUP($A111,Round1D,5,FALSE)),""),"")</f>
        <v/>
      </c>
      <c r="F113" s="202" t="str">
        <f>IFERROR(IF(D111="Π",VLOOKUP($A111, Round1P,4,FALSE),VLOOKUP($A111,Round1D,4,FALSE)),"")</f>
        <v/>
      </c>
      <c r="G113" s="200" t="str">
        <f>IFERROR(IF(G111="Π",VLOOKUP($A111, Round2P,3,FALSE),VLOOKUP($A111,Round2D,3,FALSE)),"")</f>
        <v/>
      </c>
      <c r="H113" s="201" t="str">
        <f>IFERROR(IF(Ballots=3,IF(G111="Π",VLOOKUP($A111, Round2P,5,FALSE),VLOOKUP($A111,Round2D,5,FALSE)),""),"")</f>
        <v/>
      </c>
      <c r="I113" s="202" t="str">
        <f>IFERROR(IF(G111="Π",VLOOKUP($A111, Round2P,4,FALSE),VLOOKUP($A111,Round2D,4,FALSE)),"")</f>
        <v/>
      </c>
      <c r="J113" s="200" t="str">
        <f>IFERROR(IF(J111="Π",VLOOKUP($A111, Round3P,3,FALSE),VLOOKUP($A111,Round3D,3,FALSE)),"")</f>
        <v/>
      </c>
      <c r="K113" s="201" t="str">
        <f>IFERROR(IF(Ballots=3,IF(J111="Π",VLOOKUP($A111, Round3P,5,FALSE),VLOOKUP($A111,Round3D,5,FALSE)),""),"")</f>
        <v/>
      </c>
      <c r="L113" s="202" t="str">
        <f>IFERROR(IF(J111="Π",VLOOKUP($A111, Round3P,4,FALSE),VLOOKUP($A111,Round3D,4,FALSE)),"")</f>
        <v/>
      </c>
      <c r="M113" s="200" t="str">
        <f>IFERROR(IF(M111="Π",VLOOKUP($A111, Round4P,3,FALSE),VLOOKUP($A111,Round4D,3,FALSE)),"")</f>
        <v/>
      </c>
      <c r="N113" s="201" t="str">
        <f>IFERROR(IF(Ballots=3,IF(M111="Π",VLOOKUP($A111, Round4P,5,FALSE),VLOOKUP($A111,Round4D,5,FALSE)),""),"")</f>
        <v/>
      </c>
      <c r="O113" s="202" t="str">
        <f>IFERROR(IF(M111="Π",VLOOKUP($A111, Round4P,4,FALSE),VLOOKUP($A111,Round4D,4,FALSE)),"")</f>
        <v/>
      </c>
      <c r="P113" s="203">
        <f>'Tab Summary'!U111+'Tab Summary'!V111+'Tab Summary'!U112+'Tab Summary'!V112</f>
        <v>0</v>
      </c>
      <c r="Q113" s="204"/>
      <c r="R113" s="205">
        <f>SUM('Tab Summary'!W111:X112)</f>
        <v>0</v>
      </c>
      <c r="S113" s="206"/>
      <c r="T113" s="207">
        <f>SUM(D113:O113)</f>
        <v>0</v>
      </c>
      <c r="U113" s="130" t="s">
        <v>67</v>
      </c>
      <c r="V113" s="131">
        <f>IF(D111="Π",COUNTIF(D112:F112,"W"),0)+IF(G111="Π",COUNTIF(G112:I112,"W"),0)+IF(J111="Π",COUNTIF(J112:L112,"W"),0)+IF(M111="Π",COUNTIF(M112:O112,"W"),0)</f>
        <v>0</v>
      </c>
      <c r="W113" s="132" t="s">
        <v>68</v>
      </c>
      <c r="X113" s="130">
        <f>IF(D111="Δ",COUNTIF(D112:F112,"W"),0)+IF(G111="Δ",COUNTIF(G112:I112,"W"),0)+IF(J111="Δ",COUNTIF(J112:L112,"W"),0)+IF(M111="Δ",COUNTIF(M112:O112,"W"),0)</f>
        <v>0</v>
      </c>
      <c r="Y113" s="171"/>
      <c r="Z113" s="171" t="str">
        <f>IF(Teams&gt;33,"Show", "Hide")</f>
        <v>Hide</v>
      </c>
      <c r="AA113" s="158"/>
      <c r="AB113" s="158"/>
      <c r="AC113" s="159"/>
      <c r="AD113" s="159"/>
      <c r="AE113" s="158"/>
      <c r="AF113" s="158"/>
      <c r="AG113" s="159"/>
      <c r="AH113" s="159"/>
      <c r="AI113" s="159"/>
      <c r="AJ113" s="159"/>
      <c r="AK113" s="159"/>
      <c r="AL113" s="159"/>
      <c r="AM113" s="159"/>
      <c r="AN113" s="159"/>
      <c r="AO113" s="159"/>
      <c r="AP113" s="159"/>
      <c r="AQ113" s="159"/>
    </row>
    <row r="114" spans="1:43" s="151" customFormat="1" ht="13.5" hidden="1" customHeight="1" x14ac:dyDescent="0.25">
      <c r="A114" s="430">
        <f>'Tournament Info'!C49</f>
        <v>0</v>
      </c>
      <c r="B114" s="431"/>
      <c r="C114" s="432"/>
      <c r="D114" s="163" t="str">
        <f>IF(COUNTIF('Ballot Entry'!$M$3:$M$37,$A114)=1,"Π",IF(COUNTIF('Ballot Entry'!$N$3:$N$37,$A114)=1,"Δ",""))</f>
        <v/>
      </c>
      <c r="E114" s="164" t="s">
        <v>30</v>
      </c>
      <c r="F114" s="165" t="str">
        <f>IFERROR(IF(D114="Π",VLOOKUP($A114, Round1P,2,FALSE),VLOOKUP($A114,Round1D,2,FALSE)),"")</f>
        <v/>
      </c>
      <c r="G114" s="163" t="str">
        <f>IF(COUNTIF('Ballot Entry'!$M$109:$M$143,$A114)=1,"Π",IF(COUNTIF('Ballot Entry'!$N$109:$N$143,$A114)=1,"Δ",""))</f>
        <v/>
      </c>
      <c r="H114" s="164" t="s">
        <v>30</v>
      </c>
      <c r="I114" s="165" t="str">
        <f>IFERROR(IF(G114="Π",VLOOKUP($A114, Round2P,2,FALSE),VLOOKUP($A114,Round2D,2,FALSE)),"")</f>
        <v/>
      </c>
      <c r="J114" s="163" t="str">
        <f>IF(COUNTIF('Ballot Entry'!$M$215:$M$249,$A114)=1,"Π",IF(COUNTIF('Ballot Entry'!$N$215:$N$249,$A114)=1,"Δ",""))</f>
        <v/>
      </c>
      <c r="K114" s="164" t="s">
        <v>30</v>
      </c>
      <c r="L114" s="165" t="str">
        <f>IFERROR(IF(J114="Π",VLOOKUP($A114, Round3P,2,FALSE),VLOOKUP($A114,Round3D,2,FALSE)),"")</f>
        <v/>
      </c>
      <c r="M114" s="163" t="str">
        <f>IF(COUNTIF('Ballot Entry'!$M$321:$M$355,$A114)=1,"Π",IF(COUNTIF('Ballot Entry'!$N$321:$N$355,$A114)=1,"Δ",""))</f>
        <v/>
      </c>
      <c r="N114" s="164" t="s">
        <v>30</v>
      </c>
      <c r="O114" s="165" t="str">
        <f>IFERROR(IF(M114="Π",VLOOKUP($A114, Round4P,2,FALSE),VLOOKUP($A114,Round4D,2,FALSE)),"")</f>
        <v/>
      </c>
      <c r="P114" s="166">
        <f>COUNTIF(D115:O115,"W")</f>
        <v>0</v>
      </c>
      <c r="Q114" s="167" t="s">
        <v>34</v>
      </c>
      <c r="R114" s="168">
        <f>COUNTIF(D115:O115,"L")</f>
        <v>0</v>
      </c>
      <c r="S114" s="169" t="s">
        <v>34</v>
      </c>
      <c r="T114" s="170">
        <f>COUNTIF(D115:O115,"T")</f>
        <v>0</v>
      </c>
      <c r="U114" s="124">
        <f>IFERROR(VLOOKUP('Tab Summary'!F114,TeamRecord,4,FALSE ),0)</f>
        <v>0</v>
      </c>
      <c r="V114" s="125">
        <f>IFERROR(VLOOKUP('Tab Summary'!I114,TeamRecord,4,FALSE ),0)</f>
        <v>0</v>
      </c>
      <c r="W114" s="126">
        <f>IFERROR(VLOOKUP('Tab Summary'!F114,TeamRecord,6,FALSE ),0)</f>
        <v>0</v>
      </c>
      <c r="X114" s="124">
        <f>IFERROR(VLOOKUP('Tab Summary'!I114,TeamRecord,6,FALSE ),0)</f>
        <v>0</v>
      </c>
      <c r="Y114" s="171">
        <f>IF(COUNTIF('Ballot Entry'!$X$3:$X$221,(P114+(T114/2)))=2,IF((P114+(T114/2))=U114,IF(COUNTIF(D115:F115,"W")&gt;COUNTIF(D115:F115,"L"),F114,0),0)+IF((P114+(T114/2))=V114,IF(COUNTIF(G115:I115,"W")&gt;COUNTIF(G115:I115,"L"),I114,0),0)+IF((P114+(T114/2))=U115,IF(COUNTIF(J115:L115,"W")&gt;COUNTIF(J115:L115,"L"),L114,0),0)+IF((P114+(T114/2))=V115,IF(COUNTIF(M115:O115,"W")&gt;COUNTIF(M115:O115,"L"),O114,0),0),0)</f>
        <v>0</v>
      </c>
      <c r="Z114" s="171" t="str">
        <f>IF(Teams&gt;34,"Show", "Hide")</f>
        <v>Hide</v>
      </c>
      <c r="AA114" s="158"/>
      <c r="AB114" s="158"/>
      <c r="AC114" s="159"/>
      <c r="AD114" s="159"/>
      <c r="AE114" s="158"/>
      <c r="AF114" s="158"/>
      <c r="AG114" s="159"/>
      <c r="AH114" s="159"/>
      <c r="AI114" s="159"/>
      <c r="AJ114" s="159"/>
      <c r="AK114" s="159"/>
      <c r="AL114" s="159"/>
      <c r="AM114" s="159"/>
      <c r="AN114" s="159"/>
      <c r="AO114" s="159"/>
      <c r="AP114" s="159"/>
      <c r="AQ114" s="159"/>
    </row>
    <row r="115" spans="1:43" s="151" customFormat="1" ht="12.75" hidden="1" customHeight="1" x14ac:dyDescent="0.25">
      <c r="A115" s="433">
        <f>'Tournament Info'!B49</f>
        <v>0</v>
      </c>
      <c r="B115" s="434"/>
      <c r="C115" s="435"/>
      <c r="D115" s="172" t="str">
        <f t="shared" ref="D115:O115" si="34">IF(D116="","",IF(D116&gt;0,"W",IF(D116&lt;0,"L",IF(D116=0,"T"))))</f>
        <v/>
      </c>
      <c r="E115" s="173" t="str">
        <f t="shared" si="34"/>
        <v/>
      </c>
      <c r="F115" s="174" t="str">
        <f t="shared" si="34"/>
        <v/>
      </c>
      <c r="G115" s="172" t="str">
        <f t="shared" si="34"/>
        <v/>
      </c>
      <c r="H115" s="173" t="str">
        <f t="shared" si="34"/>
        <v/>
      </c>
      <c r="I115" s="174" t="str">
        <f t="shared" si="34"/>
        <v/>
      </c>
      <c r="J115" s="172" t="str">
        <f t="shared" si="34"/>
        <v/>
      </c>
      <c r="K115" s="173" t="str">
        <f t="shared" si="34"/>
        <v/>
      </c>
      <c r="L115" s="174" t="str">
        <f t="shared" si="34"/>
        <v/>
      </c>
      <c r="M115" s="172" t="str">
        <f t="shared" si="34"/>
        <v/>
      </c>
      <c r="N115" s="173" t="str">
        <f t="shared" si="34"/>
        <v/>
      </c>
      <c r="O115" s="174" t="str">
        <f t="shared" si="34"/>
        <v/>
      </c>
      <c r="P115" s="175" t="s">
        <v>35</v>
      </c>
      <c r="Q115" s="176"/>
      <c r="R115" s="176" t="s">
        <v>36</v>
      </c>
      <c r="S115" s="176"/>
      <c r="T115" s="177" t="s">
        <v>31</v>
      </c>
      <c r="U115" s="127">
        <f>IFERROR(VLOOKUP('Tab Summary'!L114,TeamRecord,4,FALSE ),0)</f>
        <v>0</v>
      </c>
      <c r="V115" s="128">
        <f>IFERROR(VLOOKUP('Tab Summary'!O114,TeamRecord,4,FALSE ),0)</f>
        <v>0</v>
      </c>
      <c r="W115" s="129">
        <f>IFERROR(VLOOKUP('Tab Summary'!L114,TeamRecord,6,FALSE ),0)</f>
        <v>0</v>
      </c>
      <c r="X115" s="127">
        <f>IFERROR(VLOOKUP('Tab Summary'!O114,TeamRecord,6,FALSE ),0)</f>
        <v>0</v>
      </c>
      <c r="Y115" s="171">
        <f>IF(Y114&lt;&gt;0,(IF(COUNTIF('Ballot Entry'!$Z$3:$Z$35,'Tab Summary'!P116)=2,IF(P116=W114,IF(COUNTIF(D115:F115,"W")&gt;COUNTIF(D115:F115,"L"),1,0),0)+IF(P116=X114,IF(COUNTIF(G115:I115,"W")&gt;COUNTIF(G115:I115,"L"),1,0),0)+IF(P116=W115,IF(COUNTIF(J115:L115,"W")&gt;COUNTIF(J115:L115,"L"),1,0),0)+IF(P116=X115,IF(COUNTIF(M115:O115,"W")&gt;COUNTIF(M115:O115,"L"),1,0),0),0)),0)</f>
        <v>0</v>
      </c>
      <c r="Z115" s="171" t="str">
        <f>IF(Teams&gt;34,"Show", "Hide")</f>
        <v>Hide</v>
      </c>
      <c r="AA115" s="158"/>
      <c r="AB115" s="158"/>
      <c r="AC115" s="159"/>
      <c r="AD115" s="159"/>
      <c r="AE115" s="158"/>
      <c r="AF115" s="158"/>
      <c r="AG115" s="159"/>
      <c r="AH115" s="159"/>
      <c r="AI115" s="159"/>
      <c r="AJ115" s="159"/>
      <c r="AK115" s="159"/>
      <c r="AL115" s="159"/>
      <c r="AM115" s="159"/>
      <c r="AN115" s="159"/>
      <c r="AO115" s="159"/>
      <c r="AP115" s="159"/>
      <c r="AQ115" s="159"/>
    </row>
    <row r="116" spans="1:43" s="151" customFormat="1" ht="13.5" hidden="1" customHeight="1" thickBot="1" x14ac:dyDescent="0.3">
      <c r="A116" s="436"/>
      <c r="B116" s="437"/>
      <c r="C116" s="438"/>
      <c r="D116" s="178" t="str">
        <f>IFERROR(IF(D114="Π",VLOOKUP($A114, Round1P,3,FALSE),VLOOKUP($A114,Round1D,3,FALSE)),"")</f>
        <v/>
      </c>
      <c r="E116" s="179" t="str">
        <f>IFERROR(IF(Ballots=3,IF(D114="Π",VLOOKUP($A114, Round1P,5,FALSE),VLOOKUP($A114,Round1D,5,FALSE)),""),"")</f>
        <v/>
      </c>
      <c r="F116" s="180" t="str">
        <f>IFERROR(IF(D114="Π",VLOOKUP($A114, Round1P,4,FALSE),VLOOKUP($A114,Round1D,4,FALSE)),"")</f>
        <v/>
      </c>
      <c r="G116" s="178" t="str">
        <f>IFERROR(IF(G114="Π",VLOOKUP($A114, Round2P,3,FALSE),VLOOKUP($A114,Round2D,3,FALSE)),"")</f>
        <v/>
      </c>
      <c r="H116" s="179" t="str">
        <f>IFERROR(IF(Ballots=3,IF(G114="Π",VLOOKUP($A114, Round2P,5,FALSE),VLOOKUP($A114,Round2D,5,FALSE)),""),"")</f>
        <v/>
      </c>
      <c r="I116" s="180" t="str">
        <f>IFERROR(IF(G114="Π",VLOOKUP($A114, Round2P,4,FALSE),VLOOKUP($A114,Round2D,4,FALSE)),"")</f>
        <v/>
      </c>
      <c r="J116" s="178" t="str">
        <f>IFERROR(IF(J114="Π",VLOOKUP($A114, Round3P,3,FALSE),VLOOKUP($A114,Round3D,3,FALSE)),"")</f>
        <v/>
      </c>
      <c r="K116" s="179" t="str">
        <f>IFERROR(IF(Ballots=3,IF(J114="Π",VLOOKUP($A114, Round3P,5,FALSE),VLOOKUP($A114,Round3D,5,FALSE)),""),"")</f>
        <v/>
      </c>
      <c r="L116" s="180" t="str">
        <f>IFERROR(IF(J114="Π",VLOOKUP($A114, Round3P,4,FALSE),VLOOKUP($A114,Round3D,4,FALSE)),"")</f>
        <v/>
      </c>
      <c r="M116" s="178" t="str">
        <f>IFERROR(IF(M114="Π",VLOOKUP($A114, Round4P,3,FALSE),VLOOKUP($A114,Round4D,3,FALSE)),"")</f>
        <v/>
      </c>
      <c r="N116" s="179" t="str">
        <f>IFERROR(IF(Ballots=3,IF(M114="Π",VLOOKUP($A114, Round4P,5,FALSE),VLOOKUP($A114,Round4D,5,FALSE)),""),"")</f>
        <v/>
      </c>
      <c r="O116" s="180" t="str">
        <f>IFERROR(IF(M114="Π",VLOOKUP($A114, Round4P,4,FALSE),VLOOKUP($A114,Round4D,4,FALSE)),"")</f>
        <v/>
      </c>
      <c r="P116" s="181">
        <f>'Tab Summary'!U114+'Tab Summary'!V114+'Tab Summary'!U115+'Tab Summary'!V115</f>
        <v>0</v>
      </c>
      <c r="Q116" s="182"/>
      <c r="R116" s="183">
        <f>SUM('Tab Summary'!W114:X115)</f>
        <v>0</v>
      </c>
      <c r="S116" s="184"/>
      <c r="T116" s="185">
        <f>SUM(D116:O116)</f>
        <v>0</v>
      </c>
      <c r="U116" s="130" t="s">
        <v>67</v>
      </c>
      <c r="V116" s="131">
        <f>IF(D114="Π",COUNTIF(D115:F115,"W"),0)+IF(G114="Π",COUNTIF(G115:I115,"W"),0)+IF(J114="Π",COUNTIF(J115:L115,"W"),0)+IF(M114="Π",COUNTIF(M115:O115,"W"),0)</f>
        <v>0</v>
      </c>
      <c r="W116" s="132" t="s">
        <v>68</v>
      </c>
      <c r="X116" s="130">
        <f>IF(D114="Δ",COUNTIF(D115:F115,"W"),0)+IF(G114="Δ",COUNTIF(G115:I115,"W"),0)+IF(J114="Δ",COUNTIF(J115:L115,"W"),0)+IF(M114="Δ",COUNTIF(M115:O115,"W"),0)</f>
        <v>0</v>
      </c>
      <c r="Y116" s="171"/>
      <c r="Z116" s="171" t="str">
        <f>IF(Teams&gt;34,"Show", "Hide")</f>
        <v>Hide</v>
      </c>
      <c r="AA116" s="158"/>
      <c r="AB116" s="158"/>
      <c r="AC116" s="159"/>
      <c r="AD116" s="159"/>
      <c r="AE116" s="158"/>
      <c r="AF116" s="158"/>
      <c r="AG116" s="159"/>
      <c r="AH116" s="159"/>
      <c r="AI116" s="159"/>
      <c r="AJ116" s="159"/>
      <c r="AK116" s="159"/>
      <c r="AL116" s="159"/>
      <c r="AM116" s="159"/>
      <c r="AN116" s="159"/>
      <c r="AO116" s="159"/>
      <c r="AP116" s="159"/>
      <c r="AQ116" s="159"/>
    </row>
    <row r="117" spans="1:43" s="151" customFormat="1" ht="13.5" hidden="1" customHeight="1" x14ac:dyDescent="0.25">
      <c r="A117" s="439">
        <f>'Tournament Info'!C50</f>
        <v>0</v>
      </c>
      <c r="B117" s="440"/>
      <c r="C117" s="441"/>
      <c r="D117" s="186" t="str">
        <f>IF(COUNTIF('Ballot Entry'!$M$3:$M$37,$A117)=1,"Π",IF(COUNTIF('Ballot Entry'!$N$3:$N$37,$A117)=1,"Δ",""))</f>
        <v/>
      </c>
      <c r="E117" s="187" t="s">
        <v>30</v>
      </c>
      <c r="F117" s="188" t="str">
        <f>IFERROR(IF(D117="Π",VLOOKUP($A117, Round1P,2,FALSE),VLOOKUP($A117,Round1D,2,FALSE)),"")</f>
        <v/>
      </c>
      <c r="G117" s="186" t="str">
        <f>IF(COUNTIF('Ballot Entry'!$M$109:$M$143,$A117)=1,"Π",IF(COUNTIF('Ballot Entry'!$N$109:$N$143,$A117)=1,"Δ",""))</f>
        <v/>
      </c>
      <c r="H117" s="187" t="s">
        <v>30</v>
      </c>
      <c r="I117" s="188" t="str">
        <f>IFERROR(IF(G117="Π",VLOOKUP($A117, Round2P,2,FALSE),VLOOKUP($A117,Round2D,2,FALSE)),"")</f>
        <v/>
      </c>
      <c r="J117" s="186" t="str">
        <f>IF(COUNTIF('Ballot Entry'!$M$215:$M$249,$A117)=1,"Π",IF(COUNTIF('Ballot Entry'!$N$215:$N$249,$A117)=1,"Δ",""))</f>
        <v/>
      </c>
      <c r="K117" s="187" t="s">
        <v>30</v>
      </c>
      <c r="L117" s="188" t="str">
        <f>IFERROR(IF(J117="Π",VLOOKUP($A117, Round3P,2,FALSE),VLOOKUP($A117,Round3D,2,FALSE)),"")</f>
        <v/>
      </c>
      <c r="M117" s="186" t="str">
        <f>IF(COUNTIF('Ballot Entry'!$M$321:$M$355,$A117)=1,"Π",IF(COUNTIF('Ballot Entry'!$N$321:$N$355,$A117)=1,"Δ",""))</f>
        <v/>
      </c>
      <c r="N117" s="187" t="s">
        <v>30</v>
      </c>
      <c r="O117" s="188" t="str">
        <f>IFERROR(IF(M117="Π",VLOOKUP($A117, Round4P,2,FALSE),VLOOKUP($A117,Round4D,2,FALSE)),"")</f>
        <v/>
      </c>
      <c r="P117" s="189">
        <f>COUNTIF(D118:O118,"W")</f>
        <v>0</v>
      </c>
      <c r="Q117" s="190" t="s">
        <v>34</v>
      </c>
      <c r="R117" s="191">
        <f>COUNTIF(D118:O118,"L")</f>
        <v>0</v>
      </c>
      <c r="S117" s="192" t="s">
        <v>34</v>
      </c>
      <c r="T117" s="193">
        <f>COUNTIF(D118:O118,"T")</f>
        <v>0</v>
      </c>
      <c r="U117" s="124">
        <f>IFERROR(VLOOKUP('Tab Summary'!F117,TeamRecord,4,FALSE ),0)</f>
        <v>0</v>
      </c>
      <c r="V117" s="125">
        <f>IFERROR(VLOOKUP('Tab Summary'!I117,TeamRecord,4,FALSE ),0)</f>
        <v>0</v>
      </c>
      <c r="W117" s="126">
        <f>IFERROR(VLOOKUP('Tab Summary'!F117,TeamRecord,6,FALSE ),0)</f>
        <v>0</v>
      </c>
      <c r="X117" s="124">
        <f>IFERROR(VLOOKUP('Tab Summary'!I117,TeamRecord,6,FALSE ),0)</f>
        <v>0</v>
      </c>
      <c r="Y117" s="171">
        <f>IF(COUNTIF('Ballot Entry'!$X$3:$X$221,(P117+(T117/2)))=2,IF((P117+(T117/2))=U117,IF(COUNTIF(D118:F118,"W")&gt;COUNTIF(D118:F118,"L"),F117,0),0)+IF((P117+(T117/2))=V117,IF(COUNTIF(G118:I118,"W")&gt;COUNTIF(G118:I118,"L"),I117,0),0)+IF((P117+(T117/2))=U118,IF(COUNTIF(J118:L118,"W")&gt;COUNTIF(J118:L118,"L"),L117,0),0)+IF((P117+(T117/2))=V118,IF(COUNTIF(M118:O118,"W")&gt;COUNTIF(M118:O118,"L"),O117,0),0),0)</f>
        <v>0</v>
      </c>
      <c r="Z117" s="171" t="str">
        <f>IF(Teams&gt;35,"Show", "Hide")</f>
        <v>Hide</v>
      </c>
      <c r="AA117" s="158"/>
      <c r="AB117" s="158"/>
      <c r="AC117" s="159"/>
      <c r="AD117" s="159"/>
      <c r="AE117" s="158"/>
      <c r="AF117" s="158"/>
      <c r="AG117" s="159"/>
      <c r="AH117" s="159"/>
      <c r="AI117" s="159"/>
      <c r="AJ117" s="159"/>
      <c r="AK117" s="159"/>
      <c r="AL117" s="159"/>
      <c r="AM117" s="159"/>
      <c r="AN117" s="159"/>
      <c r="AO117" s="159"/>
      <c r="AP117" s="159"/>
      <c r="AQ117" s="159"/>
    </row>
    <row r="118" spans="1:43" s="151" customFormat="1" ht="12.75" hidden="1" customHeight="1" x14ac:dyDescent="0.25">
      <c r="A118" s="424">
        <f>'Tournament Info'!B50</f>
        <v>0</v>
      </c>
      <c r="B118" s="425"/>
      <c r="C118" s="426"/>
      <c r="D118" s="194" t="str">
        <f t="shared" ref="D118:O118" si="35">IF(D119="","",IF(D119&gt;0,"W",IF(D119&lt;0,"L",IF(D119=0,"T"))))</f>
        <v/>
      </c>
      <c r="E118" s="195" t="str">
        <f t="shared" si="35"/>
        <v/>
      </c>
      <c r="F118" s="196" t="str">
        <f t="shared" si="35"/>
        <v/>
      </c>
      <c r="G118" s="194" t="str">
        <f t="shared" si="35"/>
        <v/>
      </c>
      <c r="H118" s="195" t="str">
        <f t="shared" si="35"/>
        <v/>
      </c>
      <c r="I118" s="196" t="str">
        <f t="shared" si="35"/>
        <v/>
      </c>
      <c r="J118" s="194" t="str">
        <f t="shared" si="35"/>
        <v/>
      </c>
      <c r="K118" s="195" t="str">
        <f t="shared" si="35"/>
        <v/>
      </c>
      <c r="L118" s="196" t="str">
        <f t="shared" si="35"/>
        <v/>
      </c>
      <c r="M118" s="194" t="str">
        <f t="shared" si="35"/>
        <v/>
      </c>
      <c r="N118" s="195" t="str">
        <f t="shared" si="35"/>
        <v/>
      </c>
      <c r="O118" s="196" t="str">
        <f t="shared" si="35"/>
        <v/>
      </c>
      <c r="P118" s="197" t="s">
        <v>35</v>
      </c>
      <c r="Q118" s="198"/>
      <c r="R118" s="198" t="s">
        <v>36</v>
      </c>
      <c r="S118" s="198"/>
      <c r="T118" s="199" t="s">
        <v>31</v>
      </c>
      <c r="U118" s="127">
        <f>IFERROR(VLOOKUP('Tab Summary'!L117,TeamRecord,4,FALSE ),0)</f>
        <v>0</v>
      </c>
      <c r="V118" s="128">
        <f>IFERROR(VLOOKUP('Tab Summary'!O117,TeamRecord,4,FALSE ),0)</f>
        <v>0</v>
      </c>
      <c r="W118" s="129">
        <f>IFERROR(VLOOKUP('Tab Summary'!L117,TeamRecord,6,FALSE ),0)</f>
        <v>0</v>
      </c>
      <c r="X118" s="127">
        <f>IFERROR(VLOOKUP('Tab Summary'!O117,TeamRecord,6,FALSE ),0)</f>
        <v>0</v>
      </c>
      <c r="Y118" s="171">
        <f>IF(Y117&lt;&gt;0,(IF(COUNTIF('Ballot Entry'!$Z$3:$Z$35,'Tab Summary'!P119)=2,IF(P119=W117,IF(COUNTIF(D118:F118,"W")&gt;COUNTIF(D118:F118,"L"),1,0),0)+IF(P119=X117,IF(COUNTIF(G118:I118,"W")&gt;COUNTIF(G118:I118,"L"),1,0),0)+IF(P119=W118,IF(COUNTIF(J118:L118,"W")&gt;COUNTIF(J118:L118,"L"),1,0),0)+IF(P119=X118,IF(COUNTIF(M118:O118,"W")&gt;COUNTIF(M118:O118,"L"),1,0),0),0)),0)</f>
        <v>0</v>
      </c>
      <c r="Z118" s="171" t="str">
        <f>IF(Teams&gt;35,"Show", "Hide")</f>
        <v>Hide</v>
      </c>
      <c r="AA118" s="158"/>
      <c r="AB118" s="158"/>
      <c r="AC118" s="159"/>
      <c r="AD118" s="159"/>
      <c r="AE118" s="158"/>
      <c r="AF118" s="158"/>
      <c r="AG118" s="159"/>
      <c r="AH118" s="159"/>
      <c r="AI118" s="159"/>
      <c r="AJ118" s="159"/>
      <c r="AK118" s="159"/>
      <c r="AL118" s="159"/>
      <c r="AM118" s="159"/>
      <c r="AN118" s="159"/>
      <c r="AO118" s="159"/>
      <c r="AP118" s="159"/>
      <c r="AQ118" s="159"/>
    </row>
    <row r="119" spans="1:43" s="151" customFormat="1" ht="13.5" hidden="1" customHeight="1" thickBot="1" x14ac:dyDescent="0.3">
      <c r="A119" s="427"/>
      <c r="B119" s="428"/>
      <c r="C119" s="429"/>
      <c r="D119" s="200" t="str">
        <f>IFERROR(IF(D117="Π",VLOOKUP($A117, Round1P,3,FALSE),VLOOKUP($A117,Round1D,3,FALSE)),"")</f>
        <v/>
      </c>
      <c r="E119" s="201" t="str">
        <f>IFERROR(IF(Ballots=3,IF(D117="Π",VLOOKUP($A117, Round1P,5,FALSE),VLOOKUP($A117,Round1D,5,FALSE)),""),"")</f>
        <v/>
      </c>
      <c r="F119" s="202" t="str">
        <f>IFERROR(IF(D117="Π",VLOOKUP($A117, Round1P,4,FALSE),VLOOKUP($A117,Round1D,4,FALSE)),"")</f>
        <v/>
      </c>
      <c r="G119" s="200" t="str">
        <f>IFERROR(IF(G117="Π",VLOOKUP($A117, Round2P,3,FALSE),VLOOKUP($A117,Round2D,3,FALSE)),"")</f>
        <v/>
      </c>
      <c r="H119" s="201" t="str">
        <f>IFERROR(IF(Ballots=3,IF(G117="Π",VLOOKUP($A117, Round2P,5,FALSE),VLOOKUP($A117,Round2D,5,FALSE)),""),"")</f>
        <v/>
      </c>
      <c r="I119" s="202" t="str">
        <f>IFERROR(IF(G117="Π",VLOOKUP($A117, Round2P,4,FALSE),VLOOKUP($A117,Round2D,4,FALSE)),"")</f>
        <v/>
      </c>
      <c r="J119" s="200" t="str">
        <f>IFERROR(IF(J117="Π",VLOOKUP($A117, Round3P,3,FALSE),VLOOKUP($A117,Round3D,3,FALSE)),"")</f>
        <v/>
      </c>
      <c r="K119" s="201" t="str">
        <f>IFERROR(IF(Ballots=3,IF(J117="Π",VLOOKUP($A117, Round3P,5,FALSE),VLOOKUP($A117,Round3D,5,FALSE)),""),"")</f>
        <v/>
      </c>
      <c r="L119" s="202" t="str">
        <f>IFERROR(IF(J117="Π",VLOOKUP($A117, Round3P,4,FALSE),VLOOKUP($A117,Round3D,4,FALSE)),"")</f>
        <v/>
      </c>
      <c r="M119" s="200" t="str">
        <f>IFERROR(IF(M117="Π",VLOOKUP($A117, Round4P,3,FALSE),VLOOKUP($A117,Round4D,3,FALSE)),"")</f>
        <v/>
      </c>
      <c r="N119" s="201" t="str">
        <f>IFERROR(IF(Ballots=3,IF(M117="Π",VLOOKUP($A117, Round4P,5,FALSE),VLOOKUP($A117,Round4D,5,FALSE)),""),"")</f>
        <v/>
      </c>
      <c r="O119" s="202" t="str">
        <f>IFERROR(IF(M117="Π",VLOOKUP($A117, Round4P,4,FALSE),VLOOKUP($A117,Round4D,4,FALSE)),"")</f>
        <v/>
      </c>
      <c r="P119" s="203">
        <f>'Tab Summary'!U117+'Tab Summary'!V117+'Tab Summary'!U118+'Tab Summary'!V118</f>
        <v>0</v>
      </c>
      <c r="Q119" s="204"/>
      <c r="R119" s="205">
        <f>SUM('Tab Summary'!W117:X118)</f>
        <v>0</v>
      </c>
      <c r="S119" s="206"/>
      <c r="T119" s="207">
        <f>SUM(D119:O119)</f>
        <v>0</v>
      </c>
      <c r="U119" s="130" t="s">
        <v>67</v>
      </c>
      <c r="V119" s="131">
        <f>IF(D117="Π",COUNTIF(D118:F118,"W"),0)+IF(G117="Π",COUNTIF(G118:I118,"W"),0)+IF(J117="Π",COUNTIF(J118:L118,"W"),0)+IF(M117="Π",COUNTIF(M118:O118,"W"),0)</f>
        <v>0</v>
      </c>
      <c r="W119" s="132" t="s">
        <v>68</v>
      </c>
      <c r="X119" s="130">
        <f>IF(D117="Δ",COUNTIF(D118:F118,"W"),0)+IF(G117="Δ",COUNTIF(G118:I118,"W"),0)+IF(J117="Δ",COUNTIF(J118:L118,"W"),0)+IF(M117="Δ",COUNTIF(M118:O118,"W"),0)</f>
        <v>0</v>
      </c>
      <c r="Y119" s="171"/>
      <c r="Z119" s="171" t="str">
        <f>IF(Teams&gt;35,"Show", "Hide")</f>
        <v>Hide</v>
      </c>
      <c r="AA119" s="158"/>
      <c r="AB119" s="158"/>
      <c r="AC119" s="159"/>
      <c r="AD119" s="159"/>
      <c r="AE119" s="158"/>
      <c r="AF119" s="158"/>
      <c r="AG119" s="159"/>
      <c r="AH119" s="159"/>
      <c r="AI119" s="159"/>
      <c r="AJ119" s="159"/>
      <c r="AK119" s="159"/>
      <c r="AL119" s="159"/>
      <c r="AM119" s="159"/>
      <c r="AN119" s="159"/>
      <c r="AO119" s="159"/>
      <c r="AP119" s="159"/>
      <c r="AQ119" s="159"/>
    </row>
    <row r="120" spans="1:43" s="151" customFormat="1" ht="13.5" hidden="1" customHeight="1" x14ac:dyDescent="0.25">
      <c r="A120" s="430">
        <f>'Tournament Info'!C51</f>
        <v>0</v>
      </c>
      <c r="B120" s="431"/>
      <c r="C120" s="432"/>
      <c r="D120" s="163" t="str">
        <f>IF(COUNTIF('Ballot Entry'!$M$3:$M$37,$A120)=1,"Π",IF(COUNTIF('Ballot Entry'!$N$3:$N$37,$A120)=1,"Δ",""))</f>
        <v/>
      </c>
      <c r="E120" s="164" t="s">
        <v>30</v>
      </c>
      <c r="F120" s="165" t="str">
        <f>IFERROR(IF(D120="Π",VLOOKUP($A120, Round1P,2,FALSE),VLOOKUP($A120,Round1D,2,FALSE)),"")</f>
        <v/>
      </c>
      <c r="G120" s="163" t="str">
        <f>IF(COUNTIF('Ballot Entry'!$M$109:$M$143,$A120)=1,"Π",IF(COUNTIF('Ballot Entry'!$N$109:$N$143,$A120)=1,"Δ",""))</f>
        <v/>
      </c>
      <c r="H120" s="164" t="s">
        <v>30</v>
      </c>
      <c r="I120" s="165" t="str">
        <f>IFERROR(IF(G120="Π",VLOOKUP($A120, Round2P,2,FALSE),VLOOKUP($A120,Round2D,2,FALSE)),"")</f>
        <v/>
      </c>
      <c r="J120" s="163" t="str">
        <f>IF(COUNTIF('Ballot Entry'!$M$215:$M$249,$A120)=1,"Π",IF(COUNTIF('Ballot Entry'!$N$215:$N$249,$A120)=1,"Δ",""))</f>
        <v/>
      </c>
      <c r="K120" s="164" t="s">
        <v>30</v>
      </c>
      <c r="L120" s="165" t="str">
        <f>IFERROR(IF(J120="Π",VLOOKUP($A120, Round3P,2,FALSE),VLOOKUP($A120,Round3D,2,FALSE)),"")</f>
        <v/>
      </c>
      <c r="M120" s="163" t="str">
        <f>IF(COUNTIF('Ballot Entry'!$M$321:$M$355,$A120)=1,"Π",IF(COUNTIF('Ballot Entry'!$N$321:$N$355,$A120)=1,"Δ",""))</f>
        <v/>
      </c>
      <c r="N120" s="164" t="s">
        <v>30</v>
      </c>
      <c r="O120" s="165" t="str">
        <f>IFERROR(IF(M120="Π",VLOOKUP($A120, Round4P,2,FALSE),VLOOKUP($A120,Round4D,2,FALSE)),"")</f>
        <v/>
      </c>
      <c r="P120" s="166">
        <f>COUNTIF(D121:O121,"W")</f>
        <v>0</v>
      </c>
      <c r="Q120" s="167" t="s">
        <v>34</v>
      </c>
      <c r="R120" s="168">
        <f>COUNTIF(D121:O121,"L")</f>
        <v>0</v>
      </c>
      <c r="S120" s="169" t="s">
        <v>34</v>
      </c>
      <c r="T120" s="170">
        <f>COUNTIF(D121:O121,"T")</f>
        <v>0</v>
      </c>
      <c r="U120" s="124">
        <f>IFERROR(VLOOKUP('Tab Summary'!F120,TeamRecord,4,FALSE ),0)</f>
        <v>0</v>
      </c>
      <c r="V120" s="125">
        <f>IFERROR(VLOOKUP('Tab Summary'!I120,TeamRecord,4,FALSE ),0)</f>
        <v>0</v>
      </c>
      <c r="W120" s="126">
        <f>IFERROR(VLOOKUP('Tab Summary'!F120,TeamRecord,6,FALSE ),0)</f>
        <v>0</v>
      </c>
      <c r="X120" s="124">
        <f>IFERROR(VLOOKUP('Tab Summary'!I120,TeamRecord,6,FALSE ),0)</f>
        <v>0</v>
      </c>
      <c r="Y120" s="171">
        <f>IF(COUNTIF('Ballot Entry'!$X$3:$X$221,(P120+(T120/2)))=2,IF((P120+(T120/2))=U120,IF(COUNTIF(D121:F121,"W")&gt;COUNTIF(D121:F121,"L"),F120,0),0)+IF((P120+(T120/2))=V120,IF(COUNTIF(G121:I121,"W")&gt;COUNTIF(G121:I121,"L"),I120,0),0)+IF((P120+(T120/2))=U121,IF(COUNTIF(J121:L121,"W")&gt;COUNTIF(J121:L121,"L"),L120,0),0)+IF((P120+(T120/2))=V121,IF(COUNTIF(M121:O121,"W")&gt;COUNTIF(M121:O121,"L"),O120,0),0),0)</f>
        <v>0</v>
      </c>
      <c r="Z120" s="171" t="str">
        <f>IF(Teams&gt;36,"Show", "Hide")</f>
        <v>Hide</v>
      </c>
      <c r="AA120" s="158"/>
      <c r="AB120" s="158"/>
      <c r="AC120" s="159"/>
      <c r="AD120" s="159"/>
      <c r="AE120" s="158"/>
      <c r="AF120" s="158"/>
      <c r="AG120" s="159"/>
      <c r="AH120" s="159"/>
      <c r="AI120" s="159"/>
      <c r="AJ120" s="159"/>
      <c r="AK120" s="159"/>
      <c r="AL120" s="159"/>
      <c r="AM120" s="159"/>
      <c r="AN120" s="159"/>
      <c r="AO120" s="159"/>
      <c r="AP120" s="159"/>
      <c r="AQ120" s="159"/>
    </row>
    <row r="121" spans="1:43" s="151" customFormat="1" ht="12.75" hidden="1" customHeight="1" x14ac:dyDescent="0.25">
      <c r="A121" s="433">
        <f>'Tournament Info'!B51</f>
        <v>0</v>
      </c>
      <c r="B121" s="434"/>
      <c r="C121" s="435"/>
      <c r="D121" s="172" t="str">
        <f t="shared" ref="D121:O121" si="36">IF(D122="","",IF(D122&gt;0,"W",IF(D122&lt;0,"L",IF(D122=0,"T"))))</f>
        <v/>
      </c>
      <c r="E121" s="173" t="str">
        <f t="shared" si="36"/>
        <v/>
      </c>
      <c r="F121" s="174" t="str">
        <f t="shared" si="36"/>
        <v/>
      </c>
      <c r="G121" s="172" t="str">
        <f t="shared" si="36"/>
        <v/>
      </c>
      <c r="H121" s="173" t="str">
        <f t="shared" si="36"/>
        <v/>
      </c>
      <c r="I121" s="174" t="str">
        <f t="shared" si="36"/>
        <v/>
      </c>
      <c r="J121" s="172" t="str">
        <f t="shared" si="36"/>
        <v/>
      </c>
      <c r="K121" s="173" t="str">
        <f t="shared" si="36"/>
        <v/>
      </c>
      <c r="L121" s="174" t="str">
        <f t="shared" si="36"/>
        <v/>
      </c>
      <c r="M121" s="172" t="str">
        <f t="shared" si="36"/>
        <v/>
      </c>
      <c r="N121" s="173" t="str">
        <f t="shared" si="36"/>
        <v/>
      </c>
      <c r="O121" s="174" t="str">
        <f t="shared" si="36"/>
        <v/>
      </c>
      <c r="P121" s="175" t="s">
        <v>35</v>
      </c>
      <c r="Q121" s="176"/>
      <c r="R121" s="176" t="s">
        <v>36</v>
      </c>
      <c r="S121" s="176"/>
      <c r="T121" s="177" t="s">
        <v>31</v>
      </c>
      <c r="U121" s="127">
        <f>IFERROR(VLOOKUP('Tab Summary'!L120,TeamRecord,4,FALSE ),0)</f>
        <v>0</v>
      </c>
      <c r="V121" s="128">
        <f>IFERROR(VLOOKUP('Tab Summary'!O120,TeamRecord,4,FALSE ),0)</f>
        <v>0</v>
      </c>
      <c r="W121" s="129">
        <f>IFERROR(VLOOKUP('Tab Summary'!L120,TeamRecord,6,FALSE ),0)</f>
        <v>0</v>
      </c>
      <c r="X121" s="127">
        <f>IFERROR(VLOOKUP('Tab Summary'!O120,TeamRecord,6,FALSE ),0)</f>
        <v>0</v>
      </c>
      <c r="Y121" s="171">
        <f>IF(Y120&lt;&gt;0,(IF(COUNTIF('Ballot Entry'!$Z$3:$Z$35,'Tab Summary'!P122)=2,IF(P122=W120,IF(COUNTIF(D121:F121,"W")&gt;COUNTIF(D121:F121,"L"),1,0),0)+IF(P122=X120,IF(COUNTIF(G121:I121,"W")&gt;COUNTIF(G121:I121,"L"),1,0),0)+IF(P122=W121,IF(COUNTIF(J121:L121,"W")&gt;COUNTIF(J121:L121,"L"),1,0),0)+IF(P122=X121,IF(COUNTIF(M121:O121,"W")&gt;COUNTIF(M121:O121,"L"),1,0),0),0)),0)</f>
        <v>0</v>
      </c>
      <c r="Z121" s="171" t="str">
        <f>IF(Teams&gt;36,"Show", "Hide")</f>
        <v>Hide</v>
      </c>
      <c r="AA121" s="158"/>
      <c r="AB121" s="158"/>
      <c r="AC121" s="159"/>
      <c r="AD121" s="159"/>
      <c r="AE121" s="158"/>
      <c r="AF121" s="158"/>
      <c r="AG121" s="159"/>
      <c r="AH121" s="159"/>
      <c r="AI121" s="159"/>
      <c r="AJ121" s="159"/>
      <c r="AK121" s="159"/>
      <c r="AL121" s="159"/>
      <c r="AM121" s="159"/>
      <c r="AN121" s="159"/>
      <c r="AO121" s="159"/>
      <c r="AP121" s="159"/>
      <c r="AQ121" s="159"/>
    </row>
    <row r="122" spans="1:43" s="151" customFormat="1" ht="13.5" hidden="1" customHeight="1" thickBot="1" x14ac:dyDescent="0.3">
      <c r="A122" s="436"/>
      <c r="B122" s="437"/>
      <c r="C122" s="438"/>
      <c r="D122" s="178" t="str">
        <f>IFERROR(IF(D120="Π",VLOOKUP($A120, Round1P,3,FALSE),VLOOKUP($A120,Round1D,3,FALSE)),"")</f>
        <v/>
      </c>
      <c r="E122" s="179" t="str">
        <f>IFERROR(IF(Ballots=3,IF(D120="Π",VLOOKUP($A120, Round1P,5,FALSE),VLOOKUP($A120,Round1D,5,FALSE)),""),"")</f>
        <v/>
      </c>
      <c r="F122" s="180" t="str">
        <f>IFERROR(IF(D120="Π",VLOOKUP($A120, Round1P,4,FALSE),VLOOKUP($A120,Round1D,4,FALSE)),"")</f>
        <v/>
      </c>
      <c r="G122" s="178" t="str">
        <f>IFERROR(IF(G120="Π",VLOOKUP($A120, Round2P,3,FALSE),VLOOKUP($A120,Round2D,3,FALSE)),"")</f>
        <v/>
      </c>
      <c r="H122" s="179" t="str">
        <f>IFERROR(IF(Ballots=3,IF(G120="Π",VLOOKUP($A120, Round2P,5,FALSE),VLOOKUP($A120,Round2D,5,FALSE)),""),"")</f>
        <v/>
      </c>
      <c r="I122" s="180" t="str">
        <f>IFERROR(IF(G120="Π",VLOOKUP($A120, Round2P,4,FALSE),VLOOKUP($A120,Round2D,4,FALSE)),"")</f>
        <v/>
      </c>
      <c r="J122" s="178" t="str">
        <f>IFERROR(IF(J120="Π",VLOOKUP($A120, Round3P,3,FALSE),VLOOKUP($A120,Round3D,3,FALSE)),"")</f>
        <v/>
      </c>
      <c r="K122" s="179" t="str">
        <f>IFERROR(IF(Ballots=3,IF(J120="Π",VLOOKUP($A120, Round3P,5,FALSE),VLOOKUP($A120,Round3D,5,FALSE)),""),"")</f>
        <v/>
      </c>
      <c r="L122" s="180" t="str">
        <f>IFERROR(IF(J120="Π",VLOOKUP($A120, Round3P,4,FALSE),VLOOKUP($A120,Round3D,4,FALSE)),"")</f>
        <v/>
      </c>
      <c r="M122" s="178" t="str">
        <f>IFERROR(IF(M120="Π",VLOOKUP($A120, Round4P,3,FALSE),VLOOKUP($A120,Round4D,3,FALSE)),"")</f>
        <v/>
      </c>
      <c r="N122" s="179" t="str">
        <f>IFERROR(IF(Ballots=3,IF(M120="Π",VLOOKUP($A120, Round4P,5,FALSE),VLOOKUP($A120,Round4D,5,FALSE)),""),"")</f>
        <v/>
      </c>
      <c r="O122" s="180" t="str">
        <f>IFERROR(IF(M120="Π",VLOOKUP($A120, Round4P,4,FALSE),VLOOKUP($A120,Round4D,4,FALSE)),"")</f>
        <v/>
      </c>
      <c r="P122" s="181">
        <f>'Tab Summary'!U120+'Tab Summary'!V120+'Tab Summary'!U121+'Tab Summary'!V121</f>
        <v>0</v>
      </c>
      <c r="Q122" s="182"/>
      <c r="R122" s="183">
        <f>SUM('Tab Summary'!W120:X121)</f>
        <v>0</v>
      </c>
      <c r="S122" s="184"/>
      <c r="T122" s="185">
        <f>SUM(D122:O122)</f>
        <v>0</v>
      </c>
      <c r="U122" s="130" t="s">
        <v>67</v>
      </c>
      <c r="V122" s="131">
        <f>IF(D120="Π",COUNTIF(D121:F121,"W"),0)+IF(G120="Π",COUNTIF(G121:I121,"W"),0)+IF(J120="Π",COUNTIF(J121:L121,"W"),0)+IF(M120="Π",COUNTIF(M121:O121,"W"),0)</f>
        <v>0</v>
      </c>
      <c r="W122" s="132" t="s">
        <v>68</v>
      </c>
      <c r="X122" s="130">
        <f>IF(D120="Δ",COUNTIF(D121:F121,"W"),0)+IF(G120="Δ",COUNTIF(G121:I121,"W"),0)+IF(J120="Δ",COUNTIF(J121:L121,"W"),0)+IF(M120="Δ",COUNTIF(M121:O121,"W"),0)</f>
        <v>0</v>
      </c>
      <c r="Y122" s="171"/>
      <c r="Z122" s="171" t="str">
        <f>IF(Teams&gt;36,"Show", "Hide")</f>
        <v>Hide</v>
      </c>
      <c r="AA122" s="158"/>
      <c r="AB122" s="158"/>
      <c r="AC122" s="159"/>
      <c r="AD122" s="159"/>
      <c r="AE122" s="158"/>
      <c r="AF122" s="158"/>
      <c r="AG122" s="159"/>
      <c r="AH122" s="159"/>
      <c r="AI122" s="159"/>
      <c r="AJ122" s="159"/>
      <c r="AK122" s="159"/>
      <c r="AL122" s="159"/>
      <c r="AM122" s="159"/>
      <c r="AN122" s="159"/>
      <c r="AO122" s="159"/>
      <c r="AP122" s="159"/>
      <c r="AQ122" s="159"/>
    </row>
    <row r="123" spans="1:43" s="151" customFormat="1" ht="13.5" hidden="1" customHeight="1" x14ac:dyDescent="0.25">
      <c r="A123" s="439">
        <f>'Tournament Info'!C52</f>
        <v>0</v>
      </c>
      <c r="B123" s="440"/>
      <c r="C123" s="441"/>
      <c r="D123" s="186" t="str">
        <f>IF(COUNTIF('Ballot Entry'!$M$3:$M$37,$A123)=1,"Π",IF(COUNTIF('Ballot Entry'!$N$3:$N$37,$A123)=1,"Δ",""))</f>
        <v/>
      </c>
      <c r="E123" s="187" t="s">
        <v>30</v>
      </c>
      <c r="F123" s="188" t="str">
        <f>IFERROR(IF(D123="Π",VLOOKUP($A123, Round1P,2,FALSE),VLOOKUP($A123,Round1D,2,FALSE)),"")</f>
        <v/>
      </c>
      <c r="G123" s="186" t="str">
        <f>IF(COUNTIF('Ballot Entry'!$M$109:$M$143,$A123)=1,"Π",IF(COUNTIF('Ballot Entry'!$N$109:$N$143,$A123)=1,"Δ",""))</f>
        <v/>
      </c>
      <c r="H123" s="187" t="s">
        <v>30</v>
      </c>
      <c r="I123" s="188" t="str">
        <f>IFERROR(IF(G123="Π",VLOOKUP($A123, Round2P,2,FALSE),VLOOKUP($A123,Round2D,2,FALSE)),"")</f>
        <v/>
      </c>
      <c r="J123" s="186" t="str">
        <f>IF(COUNTIF('Ballot Entry'!$M$215:$M$249,$A123)=1,"Π",IF(COUNTIF('Ballot Entry'!$N$215:$N$249,$A123)=1,"Δ",""))</f>
        <v/>
      </c>
      <c r="K123" s="187" t="s">
        <v>30</v>
      </c>
      <c r="L123" s="188" t="str">
        <f>IFERROR(IF(J123="Π",VLOOKUP($A123, Round3P,2,FALSE),VLOOKUP($A123,Round3D,2,FALSE)),"")</f>
        <v/>
      </c>
      <c r="M123" s="186" t="str">
        <f>IF(COUNTIF('Ballot Entry'!$M$321:$M$355,$A123)=1,"Π",IF(COUNTIF('Ballot Entry'!$N$321:$N$355,$A123)=1,"Δ",""))</f>
        <v/>
      </c>
      <c r="N123" s="187" t="s">
        <v>30</v>
      </c>
      <c r="O123" s="188" t="str">
        <f>IFERROR(IF(M123="Π",VLOOKUP($A123, Round4P,2,FALSE),VLOOKUP($A123,Round4D,2,FALSE)),"")</f>
        <v/>
      </c>
      <c r="P123" s="189">
        <f>COUNTIF(D124:O124,"W")</f>
        <v>0</v>
      </c>
      <c r="Q123" s="190" t="s">
        <v>34</v>
      </c>
      <c r="R123" s="191">
        <f>COUNTIF(D124:O124,"L")</f>
        <v>0</v>
      </c>
      <c r="S123" s="192" t="s">
        <v>34</v>
      </c>
      <c r="T123" s="193">
        <f>COUNTIF(D124:O124,"T")</f>
        <v>0</v>
      </c>
      <c r="U123" s="124">
        <f>IFERROR(VLOOKUP('Tab Summary'!F123,TeamRecord,4,FALSE ),0)</f>
        <v>0</v>
      </c>
      <c r="V123" s="125">
        <f>IFERROR(VLOOKUP('Tab Summary'!I123,TeamRecord,4,FALSE ),0)</f>
        <v>0</v>
      </c>
      <c r="W123" s="126">
        <f>IFERROR(VLOOKUP('Tab Summary'!F123,TeamRecord,6,FALSE ),0)</f>
        <v>0</v>
      </c>
      <c r="X123" s="124">
        <f>IFERROR(VLOOKUP('Tab Summary'!I123,TeamRecord,6,FALSE ),0)</f>
        <v>0</v>
      </c>
      <c r="Y123" s="171">
        <f>IF(COUNTIF('Ballot Entry'!$X$3:$X$221,(P123+(T123/2)))=2,IF((P123+(T123/2))=U123,IF(COUNTIF(D124:F124,"W")&gt;COUNTIF(D124:F124,"L"),F123,0),0)+IF((P123+(T123/2))=V123,IF(COUNTIF(G124:I124,"W")&gt;COUNTIF(G124:I124,"L"),I123,0),0)+IF((P123+(T123/2))=U124,IF(COUNTIF(J124:L124,"W")&gt;COUNTIF(J124:L124,"L"),L123,0),0)+IF((P123+(T123/2))=V124,IF(COUNTIF(M124:O124,"W")&gt;COUNTIF(M124:O124,"L"),O123,0),0),0)</f>
        <v>0</v>
      </c>
      <c r="Z123" s="171" t="str">
        <f>IF(Teams&gt;37,"Show", "Hide")</f>
        <v>Hide</v>
      </c>
      <c r="AA123" s="158"/>
      <c r="AB123" s="158"/>
      <c r="AC123" s="159"/>
      <c r="AD123" s="159"/>
      <c r="AE123" s="158"/>
      <c r="AF123" s="158"/>
      <c r="AG123" s="159"/>
      <c r="AH123" s="159"/>
      <c r="AI123" s="159"/>
      <c r="AJ123" s="159"/>
      <c r="AK123" s="159"/>
      <c r="AL123" s="159"/>
      <c r="AM123" s="159"/>
      <c r="AN123" s="159"/>
      <c r="AO123" s="159"/>
      <c r="AP123" s="159"/>
      <c r="AQ123" s="159"/>
    </row>
    <row r="124" spans="1:43" s="151" customFormat="1" ht="12.75" hidden="1" customHeight="1" x14ac:dyDescent="0.25">
      <c r="A124" s="424">
        <f>'Tournament Info'!B52</f>
        <v>0</v>
      </c>
      <c r="B124" s="425"/>
      <c r="C124" s="426"/>
      <c r="D124" s="194" t="str">
        <f t="shared" ref="D124:O124" si="37">IF(D125="","",IF(D125&gt;0,"W",IF(D125&lt;0,"L",IF(D125=0,"T"))))</f>
        <v/>
      </c>
      <c r="E124" s="195" t="str">
        <f t="shared" si="37"/>
        <v/>
      </c>
      <c r="F124" s="196" t="str">
        <f t="shared" si="37"/>
        <v/>
      </c>
      <c r="G124" s="194" t="str">
        <f t="shared" si="37"/>
        <v/>
      </c>
      <c r="H124" s="195" t="str">
        <f t="shared" si="37"/>
        <v/>
      </c>
      <c r="I124" s="196" t="str">
        <f t="shared" si="37"/>
        <v/>
      </c>
      <c r="J124" s="194" t="str">
        <f t="shared" si="37"/>
        <v/>
      </c>
      <c r="K124" s="195" t="str">
        <f t="shared" si="37"/>
        <v/>
      </c>
      <c r="L124" s="196" t="str">
        <f t="shared" si="37"/>
        <v/>
      </c>
      <c r="M124" s="194" t="str">
        <f t="shared" si="37"/>
        <v/>
      </c>
      <c r="N124" s="195" t="str">
        <f t="shared" si="37"/>
        <v/>
      </c>
      <c r="O124" s="196" t="str">
        <f t="shared" si="37"/>
        <v/>
      </c>
      <c r="P124" s="197" t="s">
        <v>35</v>
      </c>
      <c r="Q124" s="198"/>
      <c r="R124" s="198" t="s">
        <v>36</v>
      </c>
      <c r="S124" s="198"/>
      <c r="T124" s="199" t="s">
        <v>31</v>
      </c>
      <c r="U124" s="127">
        <f>IFERROR(VLOOKUP('Tab Summary'!L123,TeamRecord,4,FALSE ),0)</f>
        <v>0</v>
      </c>
      <c r="V124" s="128">
        <f>IFERROR(VLOOKUP('Tab Summary'!O123,TeamRecord,4,FALSE ),0)</f>
        <v>0</v>
      </c>
      <c r="W124" s="129">
        <f>IFERROR(VLOOKUP('Tab Summary'!L123,TeamRecord,6,FALSE ),0)</f>
        <v>0</v>
      </c>
      <c r="X124" s="127">
        <f>IFERROR(VLOOKUP('Tab Summary'!O123,TeamRecord,6,FALSE ),0)</f>
        <v>0</v>
      </c>
      <c r="Y124" s="171">
        <f>IF(Y123&lt;&gt;0,(IF(COUNTIF('Ballot Entry'!$Z$3:$Z$35,'Tab Summary'!P125)=2,IF(P125=W123,IF(COUNTIF(D124:F124,"W")&gt;COUNTIF(D124:F124,"L"),1,0),0)+IF(P125=X123,IF(COUNTIF(G124:I124,"W")&gt;COUNTIF(G124:I124,"L"),1,0),0)+IF(P125=W124,IF(COUNTIF(J124:L124,"W")&gt;COUNTIF(J124:L124,"L"),1,0),0)+IF(P125=X124,IF(COUNTIF(M124:O124,"W")&gt;COUNTIF(M124:O124,"L"),1,0),0),0)),0)</f>
        <v>0</v>
      </c>
      <c r="Z124" s="171" t="str">
        <f>IF(Teams&gt;37,"Show", "Hide")</f>
        <v>Hide</v>
      </c>
      <c r="AA124" s="158"/>
      <c r="AB124" s="158"/>
      <c r="AC124" s="159"/>
      <c r="AD124" s="159"/>
      <c r="AE124" s="158"/>
      <c r="AF124" s="158"/>
      <c r="AG124" s="159"/>
      <c r="AH124" s="159"/>
      <c r="AI124" s="159"/>
      <c r="AJ124" s="159"/>
      <c r="AK124" s="159"/>
      <c r="AL124" s="159"/>
      <c r="AM124" s="159"/>
      <c r="AN124" s="159"/>
      <c r="AO124" s="159"/>
      <c r="AP124" s="159"/>
      <c r="AQ124" s="159"/>
    </row>
    <row r="125" spans="1:43" s="151" customFormat="1" ht="13.5" hidden="1" customHeight="1" thickBot="1" x14ac:dyDescent="0.3">
      <c r="A125" s="427"/>
      <c r="B125" s="428"/>
      <c r="C125" s="429"/>
      <c r="D125" s="200" t="str">
        <f>IFERROR(IF(D123="Π",VLOOKUP($A123, Round1P,3,FALSE),VLOOKUP($A123,Round1D,3,FALSE)),"")</f>
        <v/>
      </c>
      <c r="E125" s="201" t="str">
        <f>IFERROR(IF(Ballots=3,IF(D123="Π",VLOOKUP($A123, Round1P,5,FALSE),VLOOKUP($A123,Round1D,5,FALSE)),""),"")</f>
        <v/>
      </c>
      <c r="F125" s="202" t="str">
        <f>IFERROR(IF(D123="Π",VLOOKUP($A123, Round1P,4,FALSE),VLOOKUP($A123,Round1D,4,FALSE)),"")</f>
        <v/>
      </c>
      <c r="G125" s="200" t="str">
        <f>IFERROR(IF(G123="Π",VLOOKUP($A123, Round2P,3,FALSE),VLOOKUP($A123,Round2D,3,FALSE)),"")</f>
        <v/>
      </c>
      <c r="H125" s="201" t="str">
        <f>IFERROR(IF(Ballots=3,IF(G123="Π",VLOOKUP($A123, Round2P,5,FALSE),VLOOKUP($A123,Round2D,5,FALSE)),""),"")</f>
        <v/>
      </c>
      <c r="I125" s="202" t="str">
        <f>IFERROR(IF(G123="Π",VLOOKUP($A123, Round2P,4,FALSE),VLOOKUP($A123,Round2D,4,FALSE)),"")</f>
        <v/>
      </c>
      <c r="J125" s="200" t="str">
        <f>IFERROR(IF(J123="Π",VLOOKUP($A123, Round3P,3,FALSE),VLOOKUP($A123,Round3D,3,FALSE)),"")</f>
        <v/>
      </c>
      <c r="K125" s="201" t="str">
        <f>IFERROR(IF(Ballots=3,IF(J123="Π",VLOOKUP($A123, Round3P,5,FALSE),VLOOKUP($A123,Round3D,5,FALSE)),""),"")</f>
        <v/>
      </c>
      <c r="L125" s="202" t="str">
        <f>IFERROR(IF(J123="Π",VLOOKUP($A123, Round3P,4,FALSE),VLOOKUP($A123,Round3D,4,FALSE)),"")</f>
        <v/>
      </c>
      <c r="M125" s="200" t="str">
        <f>IFERROR(IF(M123="Π",VLOOKUP($A123, Round4P,3,FALSE),VLOOKUP($A123,Round4D,3,FALSE)),"")</f>
        <v/>
      </c>
      <c r="N125" s="201" t="str">
        <f>IFERROR(IF(Ballots=3,IF(M123="Π",VLOOKUP($A123, Round4P,5,FALSE),VLOOKUP($A123,Round4D,5,FALSE)),""),"")</f>
        <v/>
      </c>
      <c r="O125" s="202" t="str">
        <f>IFERROR(IF(M123="Π",VLOOKUP($A123, Round4P,4,FALSE),VLOOKUP($A123,Round4D,4,FALSE)),"")</f>
        <v/>
      </c>
      <c r="P125" s="203">
        <f>'Tab Summary'!U123+'Tab Summary'!V123+'Tab Summary'!U124+'Tab Summary'!V124</f>
        <v>0</v>
      </c>
      <c r="Q125" s="204"/>
      <c r="R125" s="205">
        <f>SUM('Tab Summary'!W123:X124)</f>
        <v>0</v>
      </c>
      <c r="S125" s="206"/>
      <c r="T125" s="207">
        <f>SUM(D125:O125)</f>
        <v>0</v>
      </c>
      <c r="U125" s="130" t="s">
        <v>67</v>
      </c>
      <c r="V125" s="131">
        <f>IF(D123="Π",COUNTIF(D124:F124,"W"),0)+IF(G123="Π",COUNTIF(G124:I124,"W"),0)+IF(J123="Π",COUNTIF(J124:L124,"W"),0)+IF(M123="Π",COUNTIF(M124:O124,"W"),0)</f>
        <v>0</v>
      </c>
      <c r="W125" s="132" t="s">
        <v>68</v>
      </c>
      <c r="X125" s="130">
        <f>IF(D123="Δ",COUNTIF(D124:F124,"W"),0)+IF(G123="Δ",COUNTIF(G124:I124,"W"),0)+IF(J123="Δ",COUNTIF(J124:L124,"W"),0)+IF(M123="Δ",COUNTIF(M124:O124,"W"),0)</f>
        <v>0</v>
      </c>
      <c r="Y125" s="171"/>
      <c r="Z125" s="171" t="str">
        <f>IF(Teams&gt;37,"Show", "Hide")</f>
        <v>Hide</v>
      </c>
      <c r="AA125" s="158"/>
      <c r="AB125" s="158"/>
      <c r="AC125" s="159"/>
      <c r="AD125" s="159"/>
      <c r="AE125" s="158"/>
      <c r="AF125" s="158"/>
      <c r="AG125" s="159"/>
      <c r="AH125" s="159"/>
      <c r="AI125" s="159"/>
      <c r="AJ125" s="159"/>
      <c r="AK125" s="159"/>
      <c r="AL125" s="159"/>
      <c r="AM125" s="159"/>
      <c r="AN125" s="159"/>
      <c r="AO125" s="159"/>
      <c r="AP125" s="159"/>
      <c r="AQ125" s="159"/>
    </row>
    <row r="126" spans="1:43" s="151" customFormat="1" ht="13.5" hidden="1" customHeight="1" x14ac:dyDescent="0.25">
      <c r="A126" s="430">
        <f>'Tournament Info'!C53</f>
        <v>0</v>
      </c>
      <c r="B126" s="431"/>
      <c r="C126" s="432"/>
      <c r="D126" s="163" t="str">
        <f>IF(COUNTIF('Ballot Entry'!$M$3:$M$37,$A126)=1,"Π",IF(COUNTIF('Ballot Entry'!$N$3:$N$37,$A126)=1,"Δ",""))</f>
        <v/>
      </c>
      <c r="E126" s="164" t="s">
        <v>30</v>
      </c>
      <c r="F126" s="165" t="str">
        <f>IFERROR(IF(D126="Π",VLOOKUP($A126, Round1P,2,FALSE),VLOOKUP($A126,Round1D,2,FALSE)),"")</f>
        <v/>
      </c>
      <c r="G126" s="163" t="str">
        <f>IF(COUNTIF('Ballot Entry'!$M$109:$M$143,$A126)=1,"Π",IF(COUNTIF('Ballot Entry'!$N$109:$N$143,$A126)=1,"Δ",""))</f>
        <v/>
      </c>
      <c r="H126" s="164" t="s">
        <v>30</v>
      </c>
      <c r="I126" s="165" t="str">
        <f>IFERROR(IF(G126="Π",VLOOKUP($A126, Round2P,2,FALSE),VLOOKUP($A126,Round2D,2,FALSE)),"")</f>
        <v/>
      </c>
      <c r="J126" s="163" t="str">
        <f>IF(COUNTIF('Ballot Entry'!$M$215:$M$249,$A126)=1,"Π",IF(COUNTIF('Ballot Entry'!$N$215:$N$249,$A126)=1,"Δ",""))</f>
        <v/>
      </c>
      <c r="K126" s="164" t="s">
        <v>30</v>
      </c>
      <c r="L126" s="165" t="str">
        <f>IFERROR(IF(J126="Π",VLOOKUP($A126, Round3P,2,FALSE),VLOOKUP($A126,Round3D,2,FALSE)),"")</f>
        <v/>
      </c>
      <c r="M126" s="163" t="str">
        <f>IF(COUNTIF('Ballot Entry'!$M$321:$M$355,$A126)=1,"Π",IF(COUNTIF('Ballot Entry'!$N$321:$N$355,$A126)=1,"Δ",""))</f>
        <v/>
      </c>
      <c r="N126" s="164" t="s">
        <v>30</v>
      </c>
      <c r="O126" s="165" t="str">
        <f>IFERROR(IF(M126="Π",VLOOKUP($A126, Round4P,2,FALSE),VLOOKUP($A126,Round4D,2,FALSE)),"")</f>
        <v/>
      </c>
      <c r="P126" s="166">
        <f>COUNTIF(D127:O127,"W")</f>
        <v>0</v>
      </c>
      <c r="Q126" s="167" t="s">
        <v>34</v>
      </c>
      <c r="R126" s="168">
        <f>COUNTIF(D127:O127,"L")</f>
        <v>0</v>
      </c>
      <c r="S126" s="169" t="s">
        <v>34</v>
      </c>
      <c r="T126" s="170">
        <f>COUNTIF(D127:O127,"T")</f>
        <v>0</v>
      </c>
      <c r="U126" s="124">
        <f>IFERROR(VLOOKUP('Tab Summary'!F126,TeamRecord,4,FALSE ),0)</f>
        <v>0</v>
      </c>
      <c r="V126" s="125">
        <f>IFERROR(VLOOKUP('Tab Summary'!I126,TeamRecord,4,FALSE ),0)</f>
        <v>0</v>
      </c>
      <c r="W126" s="126">
        <f>IFERROR(VLOOKUP('Tab Summary'!F126,TeamRecord,6,FALSE ),0)</f>
        <v>0</v>
      </c>
      <c r="X126" s="124">
        <f>IFERROR(VLOOKUP('Tab Summary'!I126,TeamRecord,6,FALSE ),0)</f>
        <v>0</v>
      </c>
      <c r="Y126" s="171">
        <f>IF(COUNTIF('Ballot Entry'!$X$3:$X$221,(P126+(T126/2)))=2,IF((P126+(T126/2))=U126,IF(COUNTIF(D127:F127,"W")&gt;COUNTIF(D127:F127,"L"),F126,0),0)+IF((P126+(T126/2))=V126,IF(COUNTIF(G127:I127,"W")&gt;COUNTIF(G127:I127,"L"),I126,0),0)+IF((P126+(T126/2))=U127,IF(COUNTIF(J127:L127,"W")&gt;COUNTIF(J127:L127,"L"),L126,0),0)+IF((P126+(T126/2))=V127,IF(COUNTIF(M127:O127,"W")&gt;COUNTIF(M127:O127,"L"),O126,0),0),0)</f>
        <v>0</v>
      </c>
      <c r="Z126" s="171" t="str">
        <f>IF(Teams&gt;38,"Show", "Hide")</f>
        <v>Hide</v>
      </c>
      <c r="AA126" s="158"/>
      <c r="AB126" s="158"/>
      <c r="AC126" s="159"/>
      <c r="AD126" s="159"/>
      <c r="AE126" s="158"/>
      <c r="AF126" s="158"/>
      <c r="AG126" s="159"/>
      <c r="AH126" s="159"/>
      <c r="AI126" s="159"/>
      <c r="AJ126" s="159"/>
      <c r="AK126" s="159"/>
      <c r="AL126" s="159"/>
      <c r="AM126" s="159"/>
      <c r="AN126" s="159"/>
      <c r="AO126" s="159"/>
      <c r="AP126" s="159"/>
      <c r="AQ126" s="159"/>
    </row>
    <row r="127" spans="1:43" s="151" customFormat="1" ht="12.75" hidden="1" customHeight="1" x14ac:dyDescent="0.25">
      <c r="A127" s="433">
        <f>'Tournament Info'!B53</f>
        <v>0</v>
      </c>
      <c r="B127" s="434"/>
      <c r="C127" s="435"/>
      <c r="D127" s="172" t="str">
        <f t="shared" ref="D127:O127" si="38">IF(D128="","",IF(D128&gt;0,"W",IF(D128&lt;0,"L",IF(D128=0,"T"))))</f>
        <v/>
      </c>
      <c r="E127" s="173" t="str">
        <f t="shared" si="38"/>
        <v/>
      </c>
      <c r="F127" s="174" t="str">
        <f t="shared" si="38"/>
        <v/>
      </c>
      <c r="G127" s="172" t="str">
        <f t="shared" si="38"/>
        <v/>
      </c>
      <c r="H127" s="173" t="str">
        <f t="shared" si="38"/>
        <v/>
      </c>
      <c r="I127" s="174" t="str">
        <f t="shared" si="38"/>
        <v/>
      </c>
      <c r="J127" s="172" t="str">
        <f t="shared" si="38"/>
        <v/>
      </c>
      <c r="K127" s="173" t="str">
        <f t="shared" si="38"/>
        <v/>
      </c>
      <c r="L127" s="174" t="str">
        <f t="shared" si="38"/>
        <v/>
      </c>
      <c r="M127" s="172" t="str">
        <f t="shared" si="38"/>
        <v/>
      </c>
      <c r="N127" s="173" t="str">
        <f t="shared" si="38"/>
        <v/>
      </c>
      <c r="O127" s="174" t="str">
        <f t="shared" si="38"/>
        <v/>
      </c>
      <c r="P127" s="175" t="s">
        <v>35</v>
      </c>
      <c r="Q127" s="176"/>
      <c r="R127" s="176" t="s">
        <v>36</v>
      </c>
      <c r="S127" s="176"/>
      <c r="T127" s="177" t="s">
        <v>31</v>
      </c>
      <c r="U127" s="127">
        <f>IFERROR(VLOOKUP('Tab Summary'!L126,TeamRecord,4,FALSE ),0)</f>
        <v>0</v>
      </c>
      <c r="V127" s="128">
        <f>IFERROR(VLOOKUP('Tab Summary'!O126,TeamRecord,4,FALSE ),0)</f>
        <v>0</v>
      </c>
      <c r="W127" s="129">
        <f>IFERROR(VLOOKUP('Tab Summary'!L126,TeamRecord,6,FALSE ),0)</f>
        <v>0</v>
      </c>
      <c r="X127" s="127">
        <f>IFERROR(VLOOKUP('Tab Summary'!O126,TeamRecord,6,FALSE ),0)</f>
        <v>0</v>
      </c>
      <c r="Y127" s="171">
        <f>IF(Y126&lt;&gt;0,(IF(COUNTIF('Ballot Entry'!$Z$3:$Z$35,'Tab Summary'!P128)=2,IF(P128=W126,IF(COUNTIF(D127:F127,"W")&gt;COUNTIF(D127:F127,"L"),1,0),0)+IF(P128=X126,IF(COUNTIF(G127:I127,"W")&gt;COUNTIF(G127:I127,"L"),1,0),0)+IF(P128=W127,IF(COUNTIF(J127:L127,"W")&gt;COUNTIF(J127:L127,"L"),1,0),0)+IF(P128=X127,IF(COUNTIF(M127:O127,"W")&gt;COUNTIF(M127:O127,"L"),1,0),0),0)),0)</f>
        <v>0</v>
      </c>
      <c r="Z127" s="171" t="str">
        <f>IF(Teams&gt;38,"Show", "Hide")</f>
        <v>Hide</v>
      </c>
      <c r="AA127" s="158"/>
      <c r="AB127" s="158"/>
      <c r="AC127" s="159"/>
      <c r="AD127" s="159"/>
      <c r="AE127" s="158"/>
      <c r="AF127" s="158"/>
      <c r="AG127" s="159"/>
      <c r="AH127" s="159"/>
      <c r="AI127" s="159"/>
      <c r="AJ127" s="159"/>
      <c r="AK127" s="159"/>
      <c r="AL127" s="159"/>
      <c r="AM127" s="159"/>
      <c r="AN127" s="159"/>
      <c r="AO127" s="159"/>
      <c r="AP127" s="159"/>
      <c r="AQ127" s="159"/>
    </row>
    <row r="128" spans="1:43" s="151" customFormat="1" ht="13.5" hidden="1" customHeight="1" thickBot="1" x14ac:dyDescent="0.3">
      <c r="A128" s="436"/>
      <c r="B128" s="437"/>
      <c r="C128" s="438"/>
      <c r="D128" s="178" t="str">
        <f>IFERROR(IF(D126="Π",VLOOKUP($A126, Round1P,3,FALSE),VLOOKUP($A126,Round1D,3,FALSE)),"")</f>
        <v/>
      </c>
      <c r="E128" s="179" t="str">
        <f>IFERROR(IF(Ballots=3,IF(D126="Π",VLOOKUP($A126, Round1P,5,FALSE),VLOOKUP($A126,Round1D,5,FALSE)),""),"")</f>
        <v/>
      </c>
      <c r="F128" s="180" t="str">
        <f>IFERROR(IF(D126="Π",VLOOKUP($A126, Round1P,4,FALSE),VLOOKUP($A126,Round1D,4,FALSE)),"")</f>
        <v/>
      </c>
      <c r="G128" s="178" t="str">
        <f>IFERROR(IF(G126="Π",VLOOKUP($A126, Round2P,3,FALSE),VLOOKUP($A126,Round2D,3,FALSE)),"")</f>
        <v/>
      </c>
      <c r="H128" s="179" t="str">
        <f>IFERROR(IF(Ballots=3,IF(G126="Π",VLOOKUP($A126, Round2P,5,FALSE),VLOOKUP($A126,Round2D,5,FALSE)),""),"")</f>
        <v/>
      </c>
      <c r="I128" s="180" t="str">
        <f>IFERROR(IF(G126="Π",VLOOKUP($A126, Round2P,4,FALSE),VLOOKUP($A126,Round2D,4,FALSE)),"")</f>
        <v/>
      </c>
      <c r="J128" s="178" t="str">
        <f>IFERROR(IF(J126="Π",VLOOKUP($A126, Round3P,3,FALSE),VLOOKUP($A126,Round3D,3,FALSE)),"")</f>
        <v/>
      </c>
      <c r="K128" s="179" t="str">
        <f>IFERROR(IF(Ballots=3,IF(J126="Π",VLOOKUP($A126, Round3P,5,FALSE),VLOOKUP($A126,Round3D,5,FALSE)),""),"")</f>
        <v/>
      </c>
      <c r="L128" s="180" t="str">
        <f>IFERROR(IF(J126="Π",VLOOKUP($A126, Round3P,4,FALSE),VLOOKUP($A126,Round3D,4,FALSE)),"")</f>
        <v/>
      </c>
      <c r="M128" s="178" t="str">
        <f>IFERROR(IF(M126="Π",VLOOKUP($A126, Round4P,3,FALSE),VLOOKUP($A126,Round4D,3,FALSE)),"")</f>
        <v/>
      </c>
      <c r="N128" s="179" t="str">
        <f>IFERROR(IF(Ballots=3,IF(M126="Π",VLOOKUP($A126, Round4P,5,FALSE),VLOOKUP($A126,Round4D,5,FALSE)),""),"")</f>
        <v/>
      </c>
      <c r="O128" s="180" t="str">
        <f>IFERROR(IF(M126="Π",VLOOKUP($A126, Round4P,4,FALSE),VLOOKUP($A126,Round4D,4,FALSE)),"")</f>
        <v/>
      </c>
      <c r="P128" s="181">
        <f>'Tab Summary'!U126+'Tab Summary'!V126+'Tab Summary'!U127+'Tab Summary'!V127</f>
        <v>0</v>
      </c>
      <c r="Q128" s="182"/>
      <c r="R128" s="183">
        <f>SUM('Tab Summary'!W126:X127)</f>
        <v>0</v>
      </c>
      <c r="S128" s="184"/>
      <c r="T128" s="185">
        <f>SUM(D128:O128)</f>
        <v>0</v>
      </c>
      <c r="U128" s="130" t="s">
        <v>67</v>
      </c>
      <c r="V128" s="131">
        <f>IF(D126="Π",COUNTIF(D127:F127,"W"),0)+IF(G126="Π",COUNTIF(G127:I127,"W"),0)+IF(J126="Π",COUNTIF(J127:L127,"W"),0)+IF(M126="Π",COUNTIF(M127:O127,"W"),0)</f>
        <v>0</v>
      </c>
      <c r="W128" s="132" t="s">
        <v>68</v>
      </c>
      <c r="X128" s="130">
        <f>IF(D126="Δ",COUNTIF(D127:F127,"W"),0)+IF(G126="Δ",COUNTIF(G127:I127,"W"),0)+IF(J126="Δ",COUNTIF(J127:L127,"W"),0)+IF(M126="Δ",COUNTIF(M127:O127,"W"),0)</f>
        <v>0</v>
      </c>
      <c r="Y128" s="171"/>
      <c r="Z128" s="171" t="str">
        <f>IF(Teams&gt;38,"Show", "Hide")</f>
        <v>Hide</v>
      </c>
      <c r="AA128" s="158"/>
      <c r="AB128" s="158"/>
      <c r="AC128" s="159"/>
      <c r="AD128" s="159"/>
      <c r="AE128" s="158"/>
      <c r="AF128" s="158"/>
      <c r="AG128" s="159"/>
      <c r="AH128" s="159"/>
      <c r="AI128" s="159"/>
      <c r="AJ128" s="159"/>
      <c r="AK128" s="159"/>
      <c r="AL128" s="159"/>
      <c r="AM128" s="159"/>
      <c r="AN128" s="159"/>
      <c r="AO128" s="159"/>
      <c r="AP128" s="159"/>
      <c r="AQ128" s="159"/>
    </row>
    <row r="129" spans="1:43" s="151" customFormat="1" ht="13.5" hidden="1" customHeight="1" x14ac:dyDescent="0.25">
      <c r="A129" s="439">
        <f>'Tournament Info'!C54</f>
        <v>0</v>
      </c>
      <c r="B129" s="440"/>
      <c r="C129" s="441"/>
      <c r="D129" s="186" t="str">
        <f>IF(COUNTIF('Ballot Entry'!$M$3:$M$37,$A129)=1,"Π",IF(COUNTIF('Ballot Entry'!$N$3:$N$37,$A129)=1,"Δ",""))</f>
        <v/>
      </c>
      <c r="E129" s="187" t="s">
        <v>30</v>
      </c>
      <c r="F129" s="188" t="str">
        <f>IFERROR(IF(D129="Π",VLOOKUP($A129, Round1P,2,FALSE),VLOOKUP($A129,Round1D,2,FALSE)),"")</f>
        <v/>
      </c>
      <c r="G129" s="186" t="str">
        <f>IF(COUNTIF('Ballot Entry'!$M$109:$M$143,$A129)=1,"Π",IF(COUNTIF('Ballot Entry'!$N$109:$N$143,$A129)=1,"Δ",""))</f>
        <v/>
      </c>
      <c r="H129" s="187" t="s">
        <v>30</v>
      </c>
      <c r="I129" s="188" t="str">
        <f>IFERROR(IF(G129="Π",VLOOKUP($A129, Round2P,2,FALSE),VLOOKUP($A129,Round2D,2,FALSE)),"")</f>
        <v/>
      </c>
      <c r="J129" s="186" t="str">
        <f>IF(COUNTIF('Ballot Entry'!$M$215:$M$249,$A129)=1,"Π",IF(COUNTIF('Ballot Entry'!$N$215:$N$249,$A129)=1,"Δ",""))</f>
        <v/>
      </c>
      <c r="K129" s="187" t="s">
        <v>30</v>
      </c>
      <c r="L129" s="188" t="str">
        <f>IFERROR(IF(J129="Π",VLOOKUP($A129, Round3P,2,FALSE),VLOOKUP($A129,Round3D,2,FALSE)),"")</f>
        <v/>
      </c>
      <c r="M129" s="186" t="str">
        <f>IF(COUNTIF('Ballot Entry'!$M$321:$M$355,$A129)=1,"Π",IF(COUNTIF('Ballot Entry'!$N$321:$N$355,$A129)=1,"Δ",""))</f>
        <v/>
      </c>
      <c r="N129" s="187" t="s">
        <v>30</v>
      </c>
      <c r="O129" s="188" t="str">
        <f>IFERROR(IF(M129="Π",VLOOKUP($A129, Round4P,2,FALSE),VLOOKUP($A129,Round4D,2,FALSE)),"")</f>
        <v/>
      </c>
      <c r="P129" s="189">
        <f>COUNTIF(D130:O130,"W")</f>
        <v>0</v>
      </c>
      <c r="Q129" s="190" t="s">
        <v>34</v>
      </c>
      <c r="R129" s="191">
        <f>COUNTIF(D130:O130,"L")</f>
        <v>0</v>
      </c>
      <c r="S129" s="192" t="s">
        <v>34</v>
      </c>
      <c r="T129" s="193">
        <f>COUNTIF(D130:O130,"T")</f>
        <v>0</v>
      </c>
      <c r="U129" s="124">
        <f>IFERROR(VLOOKUP('Tab Summary'!F129,TeamRecord,4,FALSE ),0)</f>
        <v>0</v>
      </c>
      <c r="V129" s="125">
        <f>IFERROR(VLOOKUP('Tab Summary'!I129,TeamRecord,4,FALSE ),0)</f>
        <v>0</v>
      </c>
      <c r="W129" s="126">
        <f>IFERROR(VLOOKUP('Tab Summary'!F129,TeamRecord,6,FALSE ),0)</f>
        <v>0</v>
      </c>
      <c r="X129" s="124">
        <f>IFERROR(VLOOKUP('Tab Summary'!I129,TeamRecord,6,FALSE ),0)</f>
        <v>0</v>
      </c>
      <c r="Y129" s="171">
        <f>IF(COUNTIF('Ballot Entry'!$X$3:$X$221,(P129+(T129/2)))=2,IF((P129+(T129/2))=U129,IF(COUNTIF(D130:F130,"W")&gt;COUNTIF(D130:F130,"L"),F129,0),0)+IF((P129+(T129/2))=V129,IF(COUNTIF(G130:I130,"W")&gt;COUNTIF(G130:I130,"L"),I129,0),0)+IF((P129+(T129/2))=U130,IF(COUNTIF(J130:L130,"W")&gt;COUNTIF(J130:L130,"L"),L129,0),0)+IF((P129+(T129/2))=V130,IF(COUNTIF(M130:O130,"W")&gt;COUNTIF(M130:O130,"L"),O129,0),0),0)</f>
        <v>0</v>
      </c>
      <c r="Z129" s="171" t="str">
        <f>IF(Teams&gt;39,"Show", "Hide")</f>
        <v>Hide</v>
      </c>
      <c r="AA129" s="158"/>
      <c r="AB129" s="158"/>
      <c r="AC129" s="159"/>
      <c r="AD129" s="159"/>
      <c r="AE129" s="158"/>
      <c r="AF129" s="158"/>
      <c r="AG129" s="159"/>
      <c r="AH129" s="159"/>
      <c r="AI129" s="159"/>
      <c r="AJ129" s="159"/>
      <c r="AK129" s="159"/>
      <c r="AL129" s="159"/>
      <c r="AM129" s="159"/>
      <c r="AN129" s="159"/>
      <c r="AO129" s="159"/>
      <c r="AP129" s="159"/>
      <c r="AQ129" s="159"/>
    </row>
    <row r="130" spans="1:43" s="151" customFormat="1" ht="12.75" hidden="1" customHeight="1" x14ac:dyDescent="0.25">
      <c r="A130" s="424">
        <f>'Tournament Info'!B54</f>
        <v>0</v>
      </c>
      <c r="B130" s="425"/>
      <c r="C130" s="426"/>
      <c r="D130" s="194" t="str">
        <f t="shared" ref="D130:O130" si="39">IF(D131="","",IF(D131&gt;0,"W",IF(D131&lt;0,"L",IF(D131=0,"T"))))</f>
        <v/>
      </c>
      <c r="E130" s="195" t="str">
        <f t="shared" si="39"/>
        <v/>
      </c>
      <c r="F130" s="196" t="str">
        <f t="shared" si="39"/>
        <v/>
      </c>
      <c r="G130" s="194" t="str">
        <f t="shared" si="39"/>
        <v/>
      </c>
      <c r="H130" s="195" t="str">
        <f t="shared" si="39"/>
        <v/>
      </c>
      <c r="I130" s="196" t="str">
        <f t="shared" si="39"/>
        <v/>
      </c>
      <c r="J130" s="194" t="str">
        <f t="shared" si="39"/>
        <v/>
      </c>
      <c r="K130" s="195" t="str">
        <f t="shared" si="39"/>
        <v/>
      </c>
      <c r="L130" s="196" t="str">
        <f t="shared" si="39"/>
        <v/>
      </c>
      <c r="M130" s="194" t="str">
        <f t="shared" si="39"/>
        <v/>
      </c>
      <c r="N130" s="195" t="str">
        <f t="shared" si="39"/>
        <v/>
      </c>
      <c r="O130" s="196" t="str">
        <f t="shared" si="39"/>
        <v/>
      </c>
      <c r="P130" s="197" t="s">
        <v>35</v>
      </c>
      <c r="Q130" s="198"/>
      <c r="R130" s="198" t="s">
        <v>36</v>
      </c>
      <c r="S130" s="198"/>
      <c r="T130" s="199" t="s">
        <v>31</v>
      </c>
      <c r="U130" s="127">
        <f>IFERROR(VLOOKUP('Tab Summary'!L129,TeamRecord,4,FALSE ),0)</f>
        <v>0</v>
      </c>
      <c r="V130" s="128">
        <f>IFERROR(VLOOKUP('Tab Summary'!O129,TeamRecord,4,FALSE ),0)</f>
        <v>0</v>
      </c>
      <c r="W130" s="129">
        <f>IFERROR(VLOOKUP('Tab Summary'!L129,TeamRecord,6,FALSE ),0)</f>
        <v>0</v>
      </c>
      <c r="X130" s="127">
        <f>IFERROR(VLOOKUP('Tab Summary'!O129,TeamRecord,6,FALSE ),0)</f>
        <v>0</v>
      </c>
      <c r="Y130" s="171">
        <f>IF(Y129&lt;&gt;0,(IF(COUNTIF('Ballot Entry'!$Z$3:$Z$35,'Tab Summary'!P131)=2,IF(P131=W129,IF(COUNTIF(D130:F130,"W")&gt;COUNTIF(D130:F130,"L"),1,0),0)+IF(P131=X129,IF(COUNTIF(G130:I130,"W")&gt;COUNTIF(G130:I130,"L"),1,0),0)+IF(P131=W130,IF(COUNTIF(J130:L130,"W")&gt;COUNTIF(J130:L130,"L"),1,0),0)+IF(P131=X130,IF(COUNTIF(M130:O130,"W")&gt;COUNTIF(M130:O130,"L"),1,0),0),0)),0)</f>
        <v>0</v>
      </c>
      <c r="Z130" s="171" t="str">
        <f>IF(Teams&gt;39,"Show", "Hide")</f>
        <v>Hide</v>
      </c>
      <c r="AA130" s="158"/>
      <c r="AB130" s="158"/>
      <c r="AC130" s="159"/>
      <c r="AD130" s="159"/>
      <c r="AE130" s="158"/>
      <c r="AF130" s="158"/>
      <c r="AG130" s="159"/>
      <c r="AH130" s="159"/>
      <c r="AI130" s="159"/>
      <c r="AJ130" s="159"/>
      <c r="AK130" s="159"/>
      <c r="AL130" s="159"/>
      <c r="AM130" s="159"/>
      <c r="AN130" s="159"/>
      <c r="AO130" s="159"/>
      <c r="AP130" s="159"/>
      <c r="AQ130" s="159"/>
    </row>
    <row r="131" spans="1:43" s="151" customFormat="1" ht="13.5" hidden="1" customHeight="1" thickBot="1" x14ac:dyDescent="0.3">
      <c r="A131" s="427"/>
      <c r="B131" s="428"/>
      <c r="C131" s="429"/>
      <c r="D131" s="200" t="str">
        <f>IFERROR(IF(D129="Π",VLOOKUP($A129, Round1P,3,FALSE),VLOOKUP($A129,Round1D,3,FALSE)),"")</f>
        <v/>
      </c>
      <c r="E131" s="201" t="str">
        <f>IFERROR(IF(Ballots=3,IF(D129="Π",VLOOKUP($A129, Round1P,5,FALSE),VLOOKUP($A129,Round1D,5,FALSE)),""),"")</f>
        <v/>
      </c>
      <c r="F131" s="202" t="str">
        <f>IFERROR(IF(D129="Π",VLOOKUP($A129, Round1P,4,FALSE),VLOOKUP($A129,Round1D,4,FALSE)),"")</f>
        <v/>
      </c>
      <c r="G131" s="200" t="str">
        <f>IFERROR(IF(G129="Π",VLOOKUP($A129, Round2P,3,FALSE),VLOOKUP($A129,Round2D,3,FALSE)),"")</f>
        <v/>
      </c>
      <c r="H131" s="201" t="str">
        <f>IFERROR(IF(Ballots=3,IF(G129="Π",VLOOKUP($A129, Round2P,5,FALSE),VLOOKUP($A129,Round2D,5,FALSE)),""),"")</f>
        <v/>
      </c>
      <c r="I131" s="202" t="str">
        <f>IFERROR(IF(G129="Π",VLOOKUP($A129, Round2P,4,FALSE),VLOOKUP($A129,Round2D,4,FALSE)),"")</f>
        <v/>
      </c>
      <c r="J131" s="200" t="str">
        <f>IFERROR(IF(J129="Π",VLOOKUP($A129, Round3P,3,FALSE),VLOOKUP($A129,Round3D,3,FALSE)),"")</f>
        <v/>
      </c>
      <c r="K131" s="201" t="str">
        <f>IFERROR(IF(Ballots=3,IF(J129="Π",VLOOKUP($A129, Round3P,5,FALSE),VLOOKUP($A129,Round3D,5,FALSE)),""),"")</f>
        <v/>
      </c>
      <c r="L131" s="202" t="str">
        <f>IFERROR(IF(J129="Π",VLOOKUP($A129, Round3P,4,FALSE),VLOOKUP($A129,Round3D,4,FALSE)),"")</f>
        <v/>
      </c>
      <c r="M131" s="200" t="str">
        <f>IFERROR(IF(M129="Π",VLOOKUP($A129, Round4P,3,FALSE),VLOOKUP($A129,Round4D,3,FALSE)),"")</f>
        <v/>
      </c>
      <c r="N131" s="201" t="str">
        <f>IFERROR(IF(Ballots=3,IF(M129="Π",VLOOKUP($A129, Round4P,5,FALSE),VLOOKUP($A129,Round4D,5,FALSE)),""),"")</f>
        <v/>
      </c>
      <c r="O131" s="202" t="str">
        <f>IFERROR(IF(M129="Π",VLOOKUP($A129, Round4P,4,FALSE),VLOOKUP($A129,Round4D,4,FALSE)),"")</f>
        <v/>
      </c>
      <c r="P131" s="203">
        <f>'Tab Summary'!U129+'Tab Summary'!V129+'Tab Summary'!U130+'Tab Summary'!V130</f>
        <v>0</v>
      </c>
      <c r="Q131" s="204"/>
      <c r="R131" s="205">
        <f>SUM('Tab Summary'!W129:X130)</f>
        <v>0</v>
      </c>
      <c r="S131" s="206"/>
      <c r="T131" s="207">
        <f>SUM(D131:O131)</f>
        <v>0</v>
      </c>
      <c r="U131" s="130" t="s">
        <v>67</v>
      </c>
      <c r="V131" s="131">
        <f>IF(D129="Π",COUNTIF(D130:F130,"W"),0)+IF(G129="Π",COUNTIF(G130:I130,"W"),0)+IF(J129="Π",COUNTIF(J130:L130,"W"),0)+IF(M129="Π",COUNTIF(M130:O130,"W"),0)</f>
        <v>0</v>
      </c>
      <c r="W131" s="132" t="s">
        <v>68</v>
      </c>
      <c r="X131" s="130">
        <f>IF(D129="Δ",COUNTIF(D130:F130,"W"),0)+IF(G129="Δ",COUNTIF(G130:I130,"W"),0)+IF(J129="Δ",COUNTIF(J130:L130,"W"),0)+IF(M129="Δ",COUNTIF(M130:O130,"W"),0)</f>
        <v>0</v>
      </c>
      <c r="Y131" s="171"/>
      <c r="Z131" s="171" t="str">
        <f>IF(Teams&gt;39,"Show", "Hide")</f>
        <v>Hide</v>
      </c>
      <c r="AA131" s="158"/>
      <c r="AB131" s="158"/>
      <c r="AC131" s="159"/>
      <c r="AD131" s="159"/>
      <c r="AE131" s="158"/>
      <c r="AF131" s="158"/>
      <c r="AG131" s="159"/>
      <c r="AH131" s="159"/>
      <c r="AI131" s="159"/>
      <c r="AJ131" s="159"/>
      <c r="AK131" s="159"/>
      <c r="AL131" s="159"/>
      <c r="AM131" s="159"/>
      <c r="AN131" s="159"/>
      <c r="AO131" s="159"/>
      <c r="AP131" s="159"/>
      <c r="AQ131" s="159"/>
    </row>
    <row r="132" spans="1:43" s="151" customFormat="1" ht="13.5" hidden="1" customHeight="1" x14ac:dyDescent="0.25">
      <c r="A132" s="430">
        <f>'Tournament Info'!C55</f>
        <v>0</v>
      </c>
      <c r="B132" s="431"/>
      <c r="C132" s="432"/>
      <c r="D132" s="163" t="str">
        <f>IF(COUNTIF('Ballot Entry'!$M$3:$M$37,$A132)=1,"Π",IF(COUNTIF('Ballot Entry'!$N$3:$N$37,$A132)=1,"Δ",""))</f>
        <v/>
      </c>
      <c r="E132" s="164" t="s">
        <v>30</v>
      </c>
      <c r="F132" s="165" t="str">
        <f>IFERROR(IF(D132="Π",VLOOKUP($A132, Round1P,2,FALSE),VLOOKUP($A132,Round1D,2,FALSE)),"")</f>
        <v/>
      </c>
      <c r="G132" s="163" t="str">
        <f>IF(COUNTIF('Ballot Entry'!$M$109:$M$143,$A132)=1,"Π",IF(COUNTIF('Ballot Entry'!$N$109:$N$143,$A132)=1,"Δ",""))</f>
        <v/>
      </c>
      <c r="H132" s="164" t="s">
        <v>30</v>
      </c>
      <c r="I132" s="165" t="str">
        <f>IFERROR(IF(G132="Π",VLOOKUP($A132, Round2P,2,FALSE),VLOOKUP($A132,Round2D,2,FALSE)),"")</f>
        <v/>
      </c>
      <c r="J132" s="163" t="str">
        <f>IF(COUNTIF('Ballot Entry'!$M$215:$M$249,$A132)=1,"Π",IF(COUNTIF('Ballot Entry'!$N$215:$N$249,$A132)=1,"Δ",""))</f>
        <v/>
      </c>
      <c r="K132" s="164" t="s">
        <v>30</v>
      </c>
      <c r="L132" s="165" t="str">
        <f>IFERROR(IF(J132="Π",VLOOKUP($A132, Round3P,2,FALSE),VLOOKUP($A132,Round3D,2,FALSE)),"")</f>
        <v/>
      </c>
      <c r="M132" s="163" t="str">
        <f>IF(COUNTIF('Ballot Entry'!$M$321:$M$355,$A132)=1,"Π",IF(COUNTIF('Ballot Entry'!$N$321:$N$355,$A132)=1,"Δ",""))</f>
        <v/>
      </c>
      <c r="N132" s="164" t="s">
        <v>30</v>
      </c>
      <c r="O132" s="165" t="str">
        <f>IFERROR(IF(M132="Π",VLOOKUP($A132, Round4P,2,FALSE),VLOOKUP($A132,Round4D,2,FALSE)),"")</f>
        <v/>
      </c>
      <c r="P132" s="166">
        <f>COUNTIF(D133:O133,"W")</f>
        <v>0</v>
      </c>
      <c r="Q132" s="167" t="s">
        <v>34</v>
      </c>
      <c r="R132" s="168">
        <f>COUNTIF(D133:O133,"L")</f>
        <v>0</v>
      </c>
      <c r="S132" s="169" t="s">
        <v>34</v>
      </c>
      <c r="T132" s="170">
        <f>COUNTIF(D133:O133,"T")</f>
        <v>0</v>
      </c>
      <c r="U132" s="124">
        <f>IFERROR(VLOOKUP('Tab Summary'!F132,TeamRecord,4,FALSE ),0)</f>
        <v>0</v>
      </c>
      <c r="V132" s="125">
        <f>IFERROR(VLOOKUP('Tab Summary'!I132,TeamRecord,4,FALSE ),0)</f>
        <v>0</v>
      </c>
      <c r="W132" s="126">
        <f>IFERROR(VLOOKUP('Tab Summary'!F132,TeamRecord,6,FALSE ),0)</f>
        <v>0</v>
      </c>
      <c r="X132" s="124">
        <f>IFERROR(VLOOKUP('Tab Summary'!I132,TeamRecord,6,FALSE ),0)</f>
        <v>0</v>
      </c>
      <c r="Y132" s="171">
        <f>IF(COUNTIF('Ballot Entry'!$X$3:$X$221,(P132+(T132/2)))=2,IF((P132+(T132/2))=U132,IF(COUNTIF(D133:F133,"W")&gt;COUNTIF(D133:F133,"L"),F132,0),0)+IF((P132+(T132/2))=V132,IF(COUNTIF(G133:I133,"W")&gt;COUNTIF(G133:I133,"L"),I132,0),0)+IF((P132+(T132/2))=U133,IF(COUNTIF(J133:L133,"W")&gt;COUNTIF(J133:L133,"L"),L132,0),0)+IF((P132+(T132/2))=V133,IF(COUNTIF(M133:O133,"W")&gt;COUNTIF(M133:O133,"L"),O132,0),0),0)</f>
        <v>0</v>
      </c>
      <c r="Z132" s="171" t="str">
        <f>IF(Teams&gt;40,"Show", "Hide")</f>
        <v>Hide</v>
      </c>
      <c r="AA132" s="158"/>
      <c r="AB132" s="158"/>
      <c r="AC132" s="159"/>
      <c r="AD132" s="159"/>
      <c r="AE132" s="158"/>
      <c r="AF132" s="158"/>
      <c r="AG132" s="159"/>
      <c r="AH132" s="159"/>
      <c r="AI132" s="159"/>
      <c r="AJ132" s="159"/>
      <c r="AK132" s="159"/>
      <c r="AL132" s="159"/>
      <c r="AM132" s="159"/>
      <c r="AN132" s="159"/>
      <c r="AO132" s="159"/>
      <c r="AP132" s="159"/>
      <c r="AQ132" s="159"/>
    </row>
    <row r="133" spans="1:43" s="151" customFormat="1" ht="13.5" hidden="1" customHeight="1" x14ac:dyDescent="0.25">
      <c r="A133" s="442">
        <f>'Tournament Info'!B55</f>
        <v>0</v>
      </c>
      <c r="B133" s="434"/>
      <c r="C133" s="435"/>
      <c r="D133" s="172" t="str">
        <f t="shared" ref="D133:O133" si="40">IF(D134="","",IF(D134&gt;0,"W",IF(D134&lt;0,"L",IF(D134=0,"T"))))</f>
        <v/>
      </c>
      <c r="E133" s="173" t="str">
        <f t="shared" si="40"/>
        <v/>
      </c>
      <c r="F133" s="174" t="str">
        <f t="shared" si="40"/>
        <v/>
      </c>
      <c r="G133" s="172" t="str">
        <f t="shared" si="40"/>
        <v/>
      </c>
      <c r="H133" s="173" t="str">
        <f t="shared" si="40"/>
        <v/>
      </c>
      <c r="I133" s="174" t="str">
        <f t="shared" si="40"/>
        <v/>
      </c>
      <c r="J133" s="172" t="str">
        <f t="shared" si="40"/>
        <v/>
      </c>
      <c r="K133" s="173" t="str">
        <f t="shared" si="40"/>
        <v/>
      </c>
      <c r="L133" s="174" t="str">
        <f t="shared" si="40"/>
        <v/>
      </c>
      <c r="M133" s="172" t="str">
        <f t="shared" si="40"/>
        <v/>
      </c>
      <c r="N133" s="173" t="str">
        <f t="shared" si="40"/>
        <v/>
      </c>
      <c r="O133" s="174" t="str">
        <f t="shared" si="40"/>
        <v/>
      </c>
      <c r="P133" s="175" t="s">
        <v>35</v>
      </c>
      <c r="Q133" s="176"/>
      <c r="R133" s="176" t="s">
        <v>36</v>
      </c>
      <c r="S133" s="176"/>
      <c r="T133" s="177" t="s">
        <v>31</v>
      </c>
      <c r="U133" s="127">
        <f>IFERROR(VLOOKUP('Tab Summary'!L132,TeamRecord,4,FALSE ),0)</f>
        <v>0</v>
      </c>
      <c r="V133" s="128">
        <f>IFERROR(VLOOKUP('Tab Summary'!O132,TeamRecord,4,FALSE ),0)</f>
        <v>0</v>
      </c>
      <c r="W133" s="129">
        <f>IFERROR(VLOOKUP('Tab Summary'!L132,TeamRecord,6,FALSE ),0)</f>
        <v>0</v>
      </c>
      <c r="X133" s="127">
        <f>IFERROR(VLOOKUP('Tab Summary'!O132,TeamRecord,6,FALSE ),0)</f>
        <v>0</v>
      </c>
      <c r="Y133" s="171">
        <f>IF(Y132&lt;&gt;0,(IF(COUNTIF('Ballot Entry'!$Z$3:$Z$35,'Tab Summary'!P134)=2,IF(P134=W132,IF(COUNTIF(D133:F133,"W")&gt;COUNTIF(D133:F133,"L"),1,0),0)+IF(P134=X132,IF(COUNTIF(G133:I133,"W")&gt;COUNTIF(G133:I133,"L"),1,0),0)+IF(P134=W133,IF(COUNTIF(J133:L133,"W")&gt;COUNTIF(J133:L133,"L"),1,0),0)+IF(P134=X133,IF(COUNTIF(M133:O133,"W")&gt;COUNTIF(M133:O133,"L"),1,0),0),0)),0)</f>
        <v>0</v>
      </c>
      <c r="Z133" s="171" t="str">
        <f>IF(Teams&gt;40,"Show", "Hide")</f>
        <v>Hide</v>
      </c>
      <c r="AA133" s="158"/>
      <c r="AB133" s="158"/>
      <c r="AC133" s="159"/>
      <c r="AD133" s="159"/>
      <c r="AE133" s="158"/>
      <c r="AF133" s="158"/>
      <c r="AG133" s="159"/>
      <c r="AH133" s="159"/>
      <c r="AI133" s="159"/>
      <c r="AJ133" s="159"/>
      <c r="AK133" s="159"/>
      <c r="AL133" s="159"/>
      <c r="AM133" s="159"/>
      <c r="AN133" s="159"/>
      <c r="AO133" s="159"/>
      <c r="AP133" s="159"/>
      <c r="AQ133" s="159"/>
    </row>
    <row r="134" spans="1:43" s="151" customFormat="1" ht="13.5" hidden="1" customHeight="1" thickBot="1" x14ac:dyDescent="0.3">
      <c r="A134" s="436"/>
      <c r="B134" s="437"/>
      <c r="C134" s="438"/>
      <c r="D134" s="178" t="str">
        <f>IFERROR(IF(D132="Π",VLOOKUP($A132, Round1P,3,FALSE),VLOOKUP($A132,Round1D,3,FALSE)),"")</f>
        <v/>
      </c>
      <c r="E134" s="179" t="str">
        <f>IFERROR(IF(Ballots=3,IF(D132="Π",VLOOKUP($A132, Round1P,5,FALSE),VLOOKUP($A132,Round1D,5,FALSE)),""),"")</f>
        <v/>
      </c>
      <c r="F134" s="180" t="str">
        <f>IFERROR(IF(D132="Π",VLOOKUP($A132, Round1P,4,FALSE),VLOOKUP($A132,Round1D,4,FALSE)),"")</f>
        <v/>
      </c>
      <c r="G134" s="178" t="str">
        <f>IFERROR(IF(G132="Π",VLOOKUP($A132, Round2P,3,FALSE),VLOOKUP($A132,Round2D,3,FALSE)),"")</f>
        <v/>
      </c>
      <c r="H134" s="179" t="str">
        <f>IFERROR(IF(Ballots=3,IF(G132="Π",VLOOKUP($A132, Round2P,5,FALSE),VLOOKUP($A132,Round2D,5,FALSE)),""),"")</f>
        <v/>
      </c>
      <c r="I134" s="180" t="str">
        <f>IFERROR(IF(G132="Π",VLOOKUP($A132, Round2P,4,FALSE),VLOOKUP($A132,Round2D,4,FALSE)),"")</f>
        <v/>
      </c>
      <c r="J134" s="178" t="str">
        <f>IFERROR(IF(J132="Π",VLOOKUP($A132, Round3P,3,FALSE),VLOOKUP($A132,Round3D,3,FALSE)),"")</f>
        <v/>
      </c>
      <c r="K134" s="179" t="str">
        <f>IFERROR(IF(Ballots=3,IF(J132="Π",VLOOKUP($A132, Round3P,5,FALSE),VLOOKUP($A132,Round3D,5,FALSE)),""),"")</f>
        <v/>
      </c>
      <c r="L134" s="180" t="str">
        <f>IFERROR(IF(J132="Π",VLOOKUP($A132, Round3P,4,FALSE),VLOOKUP($A132,Round3D,4,FALSE)),"")</f>
        <v/>
      </c>
      <c r="M134" s="178" t="str">
        <f>IFERROR(IF(M132="Π",VLOOKUP($A132, Round4P,3,FALSE),VLOOKUP($A132,Round4D,3,FALSE)),"")</f>
        <v/>
      </c>
      <c r="N134" s="179" t="str">
        <f>IFERROR(IF(Ballots=3,IF(M132="Π",VLOOKUP($A132, Round4P,5,FALSE),VLOOKUP($A132,Round4D,5,FALSE)),""),"")</f>
        <v/>
      </c>
      <c r="O134" s="180" t="str">
        <f>IFERROR(IF(M132="Π",VLOOKUP($A132, Round4P,4,FALSE),VLOOKUP($A132,Round4D,4,FALSE)),"")</f>
        <v/>
      </c>
      <c r="P134" s="181">
        <f>'Tab Summary'!U132+'Tab Summary'!V132+'Tab Summary'!U133+'Tab Summary'!V133</f>
        <v>0</v>
      </c>
      <c r="Q134" s="182"/>
      <c r="R134" s="183">
        <f>SUM('Tab Summary'!W132:X133)</f>
        <v>0</v>
      </c>
      <c r="S134" s="184"/>
      <c r="T134" s="185">
        <f>SUM(D134:O134)</f>
        <v>0</v>
      </c>
      <c r="U134" s="130" t="s">
        <v>67</v>
      </c>
      <c r="V134" s="131">
        <f>IF(D132="Π",COUNTIF(D133:F133,"W"),0)+IF(G132="Π",COUNTIF(G133:I133,"W"),0)+IF(J132="Π",COUNTIF(J133:L133,"W"),0)+IF(M132="Π",COUNTIF(M133:O133,"W"),0)</f>
        <v>0</v>
      </c>
      <c r="W134" s="132" t="s">
        <v>68</v>
      </c>
      <c r="X134" s="130">
        <f>IF(D132="Δ",COUNTIF(D133:F133,"W"),0)+IF(G132="Δ",COUNTIF(G133:I133,"W"),0)+IF(J132="Δ",COUNTIF(J133:L133,"W"),0)+IF(M132="Δ",COUNTIF(M133:O133,"W"),0)</f>
        <v>0</v>
      </c>
      <c r="Y134" s="171"/>
      <c r="Z134" s="171" t="str">
        <f>IF(Teams&gt;40,"Show", "Hide")</f>
        <v>Hide</v>
      </c>
      <c r="AA134" s="158"/>
      <c r="AB134" s="158"/>
      <c r="AC134" s="159"/>
      <c r="AD134" s="159"/>
      <c r="AE134" s="158"/>
      <c r="AF134" s="158"/>
      <c r="AG134" s="159"/>
      <c r="AH134" s="159"/>
      <c r="AI134" s="159"/>
      <c r="AJ134" s="159"/>
      <c r="AK134" s="159"/>
      <c r="AL134" s="159"/>
      <c r="AM134" s="159"/>
      <c r="AN134" s="159"/>
      <c r="AO134" s="159"/>
      <c r="AP134" s="159"/>
      <c r="AQ134" s="159"/>
    </row>
    <row r="135" spans="1:43" s="151" customFormat="1" ht="13.5" hidden="1" customHeight="1" x14ac:dyDescent="0.25">
      <c r="A135" s="439">
        <f>'Tournament Info'!C56</f>
        <v>0</v>
      </c>
      <c r="B135" s="440"/>
      <c r="C135" s="441"/>
      <c r="D135" s="186" t="str">
        <f>IF(COUNTIF('Ballot Entry'!$M$3:$M$37,$A135)=1,"Π",IF(COUNTIF('Ballot Entry'!$N$3:$N$37,$A135)=1,"Δ",""))</f>
        <v/>
      </c>
      <c r="E135" s="187" t="s">
        <v>30</v>
      </c>
      <c r="F135" s="188" t="str">
        <f>IFERROR(IF(D135="Π",VLOOKUP($A135, Round1P,2,FALSE),VLOOKUP($A135,Round1D,2,FALSE)),"")</f>
        <v/>
      </c>
      <c r="G135" s="186" t="str">
        <f>IF(COUNTIF('Ballot Entry'!$M$109:$M$143,$A135)=1,"Π",IF(COUNTIF('Ballot Entry'!$N$109:$N$143,$A135)=1,"Δ",""))</f>
        <v/>
      </c>
      <c r="H135" s="187" t="s">
        <v>30</v>
      </c>
      <c r="I135" s="188" t="str">
        <f>IFERROR(IF(G135="Π",VLOOKUP($A135, Round2P,2,FALSE),VLOOKUP($A135,Round2D,2,FALSE)),"")</f>
        <v/>
      </c>
      <c r="J135" s="186" t="str">
        <f>IF(COUNTIF('Ballot Entry'!$M$215:$M$249,$A135)=1,"Π",IF(COUNTIF('Ballot Entry'!$N$215:$N$249,$A135)=1,"Δ",""))</f>
        <v/>
      </c>
      <c r="K135" s="187" t="s">
        <v>30</v>
      </c>
      <c r="L135" s="188" t="str">
        <f>IFERROR(IF(J135="Π",VLOOKUP($A135, Round3P,2,FALSE),VLOOKUP($A135,Round3D,2,FALSE)),"")</f>
        <v/>
      </c>
      <c r="M135" s="186" t="str">
        <f>IF(COUNTIF('Ballot Entry'!$M$321:$M$355,$A135)=1,"Π",IF(COUNTIF('Ballot Entry'!$N$321:$N$355,$A135)=1,"Δ",""))</f>
        <v/>
      </c>
      <c r="N135" s="187" t="s">
        <v>30</v>
      </c>
      <c r="O135" s="188" t="str">
        <f>IFERROR(IF(M135="Π",VLOOKUP($A135, Round4P,2,FALSE),VLOOKUP($A135,Round4D,2,FALSE)),"")</f>
        <v/>
      </c>
      <c r="P135" s="189">
        <f>COUNTIF(D136:O136,"W")</f>
        <v>0</v>
      </c>
      <c r="Q135" s="190" t="s">
        <v>34</v>
      </c>
      <c r="R135" s="191">
        <f>COUNTIF(D136:O136,"L")</f>
        <v>0</v>
      </c>
      <c r="S135" s="192" t="s">
        <v>34</v>
      </c>
      <c r="T135" s="193">
        <f>COUNTIF(D136:O136,"T")</f>
        <v>0</v>
      </c>
      <c r="U135" s="124">
        <f>IFERROR(VLOOKUP('Tab Summary'!F135,TeamRecord,4,FALSE ),0)</f>
        <v>0</v>
      </c>
      <c r="V135" s="125">
        <f>IFERROR(VLOOKUP('Tab Summary'!I135,TeamRecord,4,FALSE ),0)</f>
        <v>0</v>
      </c>
      <c r="W135" s="126">
        <f>IFERROR(VLOOKUP('Tab Summary'!F135,TeamRecord,6,FALSE ),0)</f>
        <v>0</v>
      </c>
      <c r="X135" s="124">
        <f>IFERROR(VLOOKUP('Tab Summary'!I135,TeamRecord,6,FALSE ),0)</f>
        <v>0</v>
      </c>
      <c r="Y135" s="171">
        <f>IF(COUNTIF('Ballot Entry'!$X$3:$X$221,(P135+(T135/2)))=2,IF((P135+(T135/2))=U135,IF(COUNTIF(D136:F136,"W")&gt;COUNTIF(D136:F136,"L"),F135,0),0)+IF((P135+(T135/2))=V135,IF(COUNTIF(G136:I136,"W")&gt;COUNTIF(G136:I136,"L"),I135,0),0)+IF((P135+(T135/2))=U136,IF(COUNTIF(J136:L136,"W")&gt;COUNTIF(J136:L136,"L"),L135,0),0)+IF((P135+(T135/2))=V136,IF(COUNTIF(M136:O136,"W")&gt;COUNTIF(M136:O136,"L"),O135,0),0),0)</f>
        <v>0</v>
      </c>
      <c r="Z135" s="171" t="str">
        <f>IF(Teams&gt;41,"Show", "Hide")</f>
        <v>Hide</v>
      </c>
      <c r="AA135" s="158"/>
      <c r="AB135" s="158"/>
      <c r="AC135" s="159"/>
      <c r="AD135" s="159"/>
      <c r="AE135" s="158"/>
      <c r="AF135" s="158"/>
      <c r="AG135" s="159"/>
      <c r="AH135" s="159"/>
      <c r="AI135" s="159"/>
      <c r="AJ135" s="159"/>
      <c r="AK135" s="159"/>
      <c r="AL135" s="159"/>
      <c r="AM135" s="159"/>
      <c r="AN135" s="159"/>
      <c r="AO135" s="159"/>
      <c r="AP135" s="159"/>
      <c r="AQ135" s="159"/>
    </row>
    <row r="136" spans="1:43" s="151" customFormat="1" ht="13.5" hidden="1" customHeight="1" x14ac:dyDescent="0.25">
      <c r="A136" s="443">
        <f>'Tournament Info'!B56</f>
        <v>0</v>
      </c>
      <c r="B136" s="425"/>
      <c r="C136" s="426"/>
      <c r="D136" s="194" t="str">
        <f t="shared" ref="D136:O136" si="41">IF(D137="","",IF(D137&gt;0,"W",IF(D137&lt;0,"L",IF(D137=0,"T"))))</f>
        <v/>
      </c>
      <c r="E136" s="195" t="str">
        <f t="shared" si="41"/>
        <v/>
      </c>
      <c r="F136" s="196" t="str">
        <f t="shared" si="41"/>
        <v/>
      </c>
      <c r="G136" s="194" t="str">
        <f t="shared" si="41"/>
        <v/>
      </c>
      <c r="H136" s="195" t="str">
        <f t="shared" si="41"/>
        <v/>
      </c>
      <c r="I136" s="196" t="str">
        <f t="shared" si="41"/>
        <v/>
      </c>
      <c r="J136" s="194" t="str">
        <f t="shared" si="41"/>
        <v/>
      </c>
      <c r="K136" s="195" t="str">
        <f t="shared" si="41"/>
        <v/>
      </c>
      <c r="L136" s="196" t="str">
        <f t="shared" si="41"/>
        <v/>
      </c>
      <c r="M136" s="194" t="str">
        <f t="shared" si="41"/>
        <v/>
      </c>
      <c r="N136" s="195" t="str">
        <f t="shared" si="41"/>
        <v/>
      </c>
      <c r="O136" s="196" t="str">
        <f t="shared" si="41"/>
        <v/>
      </c>
      <c r="P136" s="197" t="s">
        <v>35</v>
      </c>
      <c r="Q136" s="198"/>
      <c r="R136" s="198" t="s">
        <v>36</v>
      </c>
      <c r="S136" s="198"/>
      <c r="T136" s="199" t="s">
        <v>31</v>
      </c>
      <c r="U136" s="127">
        <f>IFERROR(VLOOKUP('Tab Summary'!L135,TeamRecord,4,FALSE ),0)</f>
        <v>0</v>
      </c>
      <c r="V136" s="128">
        <f>IFERROR(VLOOKUP('Tab Summary'!O135,TeamRecord,4,FALSE ),0)</f>
        <v>0</v>
      </c>
      <c r="W136" s="129">
        <f>IFERROR(VLOOKUP('Tab Summary'!L135,TeamRecord,6,FALSE ),0)</f>
        <v>0</v>
      </c>
      <c r="X136" s="127">
        <f>IFERROR(VLOOKUP('Tab Summary'!O135,TeamRecord,6,FALSE ),0)</f>
        <v>0</v>
      </c>
      <c r="Y136" s="171">
        <f>IF(Y135&lt;&gt;0,(IF(COUNTIF('Ballot Entry'!$Z$3:$Z$35,'Tab Summary'!P137)=2,IF(P137=W135,IF(COUNTIF(D136:F136,"W")&gt;COUNTIF(D136:F136,"L"),1,0),0)+IF(P137=X135,IF(COUNTIF(G136:I136,"W")&gt;COUNTIF(G136:I136,"L"),1,0),0)+IF(P137=W136,IF(COUNTIF(J136:L136,"W")&gt;COUNTIF(J136:L136,"L"),1,0),0)+IF(P137=X136,IF(COUNTIF(M136:O136,"W")&gt;COUNTIF(M136:O136,"L"),1,0),0),0)),0)</f>
        <v>0</v>
      </c>
      <c r="Z136" s="171" t="str">
        <f>IF(Teams&gt;41,"Show", "Hide")</f>
        <v>Hide</v>
      </c>
      <c r="AA136" s="158"/>
      <c r="AB136" s="158"/>
      <c r="AC136" s="159"/>
      <c r="AD136" s="159"/>
      <c r="AE136" s="158"/>
      <c r="AF136" s="158"/>
      <c r="AG136" s="159"/>
      <c r="AH136" s="159"/>
      <c r="AI136" s="159"/>
      <c r="AJ136" s="159"/>
      <c r="AK136" s="159"/>
      <c r="AL136" s="159"/>
      <c r="AM136" s="159"/>
      <c r="AN136" s="159"/>
      <c r="AO136" s="159"/>
      <c r="AP136" s="159"/>
      <c r="AQ136" s="159"/>
    </row>
    <row r="137" spans="1:43" s="151" customFormat="1" ht="13.5" hidden="1" customHeight="1" thickBot="1" x14ac:dyDescent="0.3">
      <c r="A137" s="427"/>
      <c r="B137" s="428"/>
      <c r="C137" s="429"/>
      <c r="D137" s="200" t="str">
        <f>IFERROR(IF(D135="Π",VLOOKUP($A135, Round1P,3,FALSE),VLOOKUP($A135,Round1D,3,FALSE)),"")</f>
        <v/>
      </c>
      <c r="E137" s="201" t="str">
        <f>IFERROR(IF(Ballots=3,IF(D135="Π",VLOOKUP($A135, Round1P,5,FALSE),VLOOKUP($A135,Round1D,5,FALSE)),""),"")</f>
        <v/>
      </c>
      <c r="F137" s="202" t="str">
        <f>IFERROR(IF(D135="Π",VLOOKUP($A135, Round1P,4,FALSE),VLOOKUP($A135,Round1D,4,FALSE)),"")</f>
        <v/>
      </c>
      <c r="G137" s="200" t="str">
        <f>IFERROR(IF(G135="Π",VLOOKUP($A135, Round2P,3,FALSE),VLOOKUP($A135,Round2D,3,FALSE)),"")</f>
        <v/>
      </c>
      <c r="H137" s="201" t="str">
        <f>IFERROR(IF(Ballots=3,IF(G135="Π",VLOOKUP($A135, Round2P,5,FALSE),VLOOKUP($A135,Round2D,5,FALSE)),""),"")</f>
        <v/>
      </c>
      <c r="I137" s="202" t="str">
        <f>IFERROR(IF(G135="Π",VLOOKUP($A135, Round2P,4,FALSE),VLOOKUP($A135,Round2D,4,FALSE)),"")</f>
        <v/>
      </c>
      <c r="J137" s="200" t="str">
        <f>IFERROR(IF(J135="Π",VLOOKUP($A135, Round3P,3,FALSE),VLOOKUP($A135,Round3D,3,FALSE)),"")</f>
        <v/>
      </c>
      <c r="K137" s="201" t="str">
        <f>IFERROR(IF(Ballots=3,IF(J135="Π",VLOOKUP($A135, Round3P,5,FALSE),VLOOKUP($A135,Round3D,5,FALSE)),""),"")</f>
        <v/>
      </c>
      <c r="L137" s="202" t="str">
        <f>IFERROR(IF(J135="Π",VLOOKUP($A135, Round3P,4,FALSE),VLOOKUP($A135,Round3D,4,FALSE)),"")</f>
        <v/>
      </c>
      <c r="M137" s="200" t="str">
        <f>IFERROR(IF(M135="Π",VLOOKUP($A135, Round4P,3,FALSE),VLOOKUP($A135,Round4D,3,FALSE)),"")</f>
        <v/>
      </c>
      <c r="N137" s="201" t="str">
        <f>IFERROR(IF(Ballots=3,IF(M135="Π",VLOOKUP($A135, Round4P,5,FALSE),VLOOKUP($A135,Round4D,5,FALSE)),""),"")</f>
        <v/>
      </c>
      <c r="O137" s="202" t="str">
        <f>IFERROR(IF(M135="Π",VLOOKUP($A135, Round4P,4,FALSE),VLOOKUP($A135,Round4D,4,FALSE)),"")</f>
        <v/>
      </c>
      <c r="P137" s="203">
        <f>'Tab Summary'!U135+'Tab Summary'!V135+'Tab Summary'!U136+'Tab Summary'!V136</f>
        <v>0</v>
      </c>
      <c r="Q137" s="204"/>
      <c r="R137" s="205">
        <f>SUM('Tab Summary'!W135:X136)</f>
        <v>0</v>
      </c>
      <c r="S137" s="206"/>
      <c r="T137" s="207">
        <f>SUM(D137:O137)</f>
        <v>0</v>
      </c>
      <c r="U137" s="130" t="s">
        <v>67</v>
      </c>
      <c r="V137" s="131">
        <f>IF(D135="Π",COUNTIF(D136:F136,"W"),0)+IF(G135="Π",COUNTIF(G136:I136,"W"),0)+IF(J135="Π",COUNTIF(J136:L136,"W"),0)+IF(M135="Π",COUNTIF(M136:O136,"W"),0)</f>
        <v>0</v>
      </c>
      <c r="W137" s="132" t="s">
        <v>68</v>
      </c>
      <c r="X137" s="130">
        <f>IF(D135="Δ",COUNTIF(D136:F136,"W"),0)+IF(G135="Δ",COUNTIF(G136:I136,"W"),0)+IF(J135="Δ",COUNTIF(J136:L136,"W"),0)+IF(M135="Δ",COUNTIF(M136:O136,"W"),0)</f>
        <v>0</v>
      </c>
      <c r="Y137" s="171"/>
      <c r="Z137" s="171" t="str">
        <f>IF(Teams&gt;41,"Show", "Hide")</f>
        <v>Hide</v>
      </c>
      <c r="AA137" s="158"/>
      <c r="AB137" s="158"/>
      <c r="AC137" s="159"/>
      <c r="AD137" s="159"/>
      <c r="AE137" s="158"/>
      <c r="AF137" s="158"/>
      <c r="AG137" s="159"/>
      <c r="AH137" s="159"/>
      <c r="AI137" s="159"/>
      <c r="AJ137" s="159"/>
      <c r="AK137" s="159"/>
      <c r="AL137" s="159"/>
      <c r="AM137" s="159"/>
      <c r="AN137" s="159"/>
      <c r="AO137" s="159"/>
      <c r="AP137" s="159"/>
      <c r="AQ137" s="159"/>
    </row>
    <row r="138" spans="1:43" s="151" customFormat="1" ht="13.5" hidden="1" customHeight="1" x14ac:dyDescent="0.25">
      <c r="A138" s="430">
        <f>'Tournament Info'!C57</f>
        <v>0</v>
      </c>
      <c r="B138" s="431"/>
      <c r="C138" s="432"/>
      <c r="D138" s="163" t="str">
        <f>IF(COUNTIF('Ballot Entry'!$M$3:$M$37,$A138)=1,"Π",IF(COUNTIF('Ballot Entry'!$N$3:$N$37,$A138)=1,"Δ",""))</f>
        <v/>
      </c>
      <c r="E138" s="164" t="s">
        <v>30</v>
      </c>
      <c r="F138" s="165" t="str">
        <f>IFERROR(IF(D138="Π",VLOOKUP($A138, Round1P,2,FALSE),VLOOKUP($A138,Round1D,2,FALSE)),"")</f>
        <v/>
      </c>
      <c r="G138" s="163" t="str">
        <f>IF(COUNTIF('Ballot Entry'!$M$109:$M$143,$A138)=1,"Π",IF(COUNTIF('Ballot Entry'!$N$109:$N$143,$A138)=1,"Δ",""))</f>
        <v/>
      </c>
      <c r="H138" s="164" t="s">
        <v>30</v>
      </c>
      <c r="I138" s="165" t="str">
        <f>IFERROR(IF(G138="Π",VLOOKUP($A138, Round2P,2,FALSE),VLOOKUP($A138,Round2D,2,FALSE)),"")</f>
        <v/>
      </c>
      <c r="J138" s="163" t="str">
        <f>IF(COUNTIF('Ballot Entry'!$M$215:$M$249,$A138)=1,"Π",IF(COUNTIF('Ballot Entry'!$N$215:$N$249,$A138)=1,"Δ",""))</f>
        <v/>
      </c>
      <c r="K138" s="164" t="s">
        <v>30</v>
      </c>
      <c r="L138" s="165" t="str">
        <f>IFERROR(IF(J138="Π",VLOOKUP($A138, Round3P,2,FALSE),VLOOKUP($A138,Round3D,2,FALSE)),"")</f>
        <v/>
      </c>
      <c r="M138" s="163" t="str">
        <f>IF(COUNTIF('Ballot Entry'!$M$321:$M$355,$A138)=1,"Π",IF(COUNTIF('Ballot Entry'!$N$321:$N$355,$A138)=1,"Δ",""))</f>
        <v/>
      </c>
      <c r="N138" s="164" t="s">
        <v>30</v>
      </c>
      <c r="O138" s="165" t="str">
        <f>IFERROR(IF(M138="Π",VLOOKUP($A138, Round4P,2,FALSE),VLOOKUP($A138,Round4D,2,FALSE)),"")</f>
        <v/>
      </c>
      <c r="P138" s="166">
        <f>COUNTIF(D139:O139,"W")</f>
        <v>0</v>
      </c>
      <c r="Q138" s="167" t="s">
        <v>34</v>
      </c>
      <c r="R138" s="168">
        <f>COUNTIF(D139:O139,"L")</f>
        <v>0</v>
      </c>
      <c r="S138" s="169" t="s">
        <v>34</v>
      </c>
      <c r="T138" s="170">
        <f>COUNTIF(D139:O139,"T")</f>
        <v>0</v>
      </c>
      <c r="U138" s="124">
        <f>IFERROR(VLOOKUP('Tab Summary'!F138,TeamRecord,4,FALSE ),0)</f>
        <v>0</v>
      </c>
      <c r="V138" s="125">
        <f>IFERROR(VLOOKUP('Tab Summary'!I138,TeamRecord,4,FALSE ),0)</f>
        <v>0</v>
      </c>
      <c r="W138" s="126">
        <f>IFERROR(VLOOKUP('Tab Summary'!F138,TeamRecord,6,FALSE ),0)</f>
        <v>0</v>
      </c>
      <c r="X138" s="124">
        <f>IFERROR(VLOOKUP('Tab Summary'!I138,TeamRecord,6,FALSE ),0)</f>
        <v>0</v>
      </c>
      <c r="Y138" s="171">
        <f>IF(COUNTIF('Ballot Entry'!$X$3:$X$221,(P138+(T138/2)))=2,IF((P138+(T138/2))=U138,IF(COUNTIF(D139:F139,"W")&gt;COUNTIF(D139:F139,"L"),F138,0),0)+IF((P138+(T138/2))=V138,IF(COUNTIF(G139:I139,"W")&gt;COUNTIF(G139:I139,"L"),I138,0),0)+IF((P138+(T138/2))=U139,IF(COUNTIF(J139:L139,"W")&gt;COUNTIF(J139:L139,"L"),L138,0),0)+IF((P138+(T138/2))=V139,IF(COUNTIF(M139:O139,"W")&gt;COUNTIF(M139:O139,"L"),O138,0),0),0)</f>
        <v>0</v>
      </c>
      <c r="Z138" s="259" t="str">
        <f>IF(Teams&gt;42,"Show", "Hide")</f>
        <v>Hide</v>
      </c>
      <c r="AA138" s="158"/>
      <c r="AB138" s="158"/>
      <c r="AC138" s="159"/>
      <c r="AD138" s="159"/>
      <c r="AE138" s="158"/>
      <c r="AF138" s="158"/>
      <c r="AG138" s="159"/>
      <c r="AH138" s="159"/>
      <c r="AI138" s="159"/>
      <c r="AJ138" s="159"/>
      <c r="AK138" s="159"/>
      <c r="AL138" s="159"/>
      <c r="AM138" s="159"/>
      <c r="AN138" s="159"/>
      <c r="AO138" s="159"/>
      <c r="AP138" s="159"/>
      <c r="AQ138" s="159"/>
    </row>
    <row r="139" spans="1:43" s="151" customFormat="1" ht="13.5" hidden="1" customHeight="1" x14ac:dyDescent="0.25">
      <c r="A139" s="442">
        <f>'Tournament Info'!B57</f>
        <v>0</v>
      </c>
      <c r="B139" s="434"/>
      <c r="C139" s="435"/>
      <c r="D139" s="172" t="str">
        <f t="shared" ref="D139:O139" si="42">IF(D140="","",IF(D140&gt;0,"W",IF(D140&lt;0,"L",IF(D140=0,"T"))))</f>
        <v/>
      </c>
      <c r="E139" s="173" t="str">
        <f t="shared" si="42"/>
        <v/>
      </c>
      <c r="F139" s="174" t="str">
        <f t="shared" si="42"/>
        <v/>
      </c>
      <c r="G139" s="172" t="str">
        <f t="shared" si="42"/>
        <v/>
      </c>
      <c r="H139" s="173" t="str">
        <f t="shared" si="42"/>
        <v/>
      </c>
      <c r="I139" s="174" t="str">
        <f t="shared" si="42"/>
        <v/>
      </c>
      <c r="J139" s="172" t="str">
        <f t="shared" si="42"/>
        <v/>
      </c>
      <c r="K139" s="173" t="str">
        <f t="shared" si="42"/>
        <v/>
      </c>
      <c r="L139" s="174" t="str">
        <f t="shared" si="42"/>
        <v/>
      </c>
      <c r="M139" s="172" t="str">
        <f t="shared" si="42"/>
        <v/>
      </c>
      <c r="N139" s="173" t="str">
        <f t="shared" si="42"/>
        <v/>
      </c>
      <c r="O139" s="174" t="str">
        <f t="shared" si="42"/>
        <v/>
      </c>
      <c r="P139" s="175" t="s">
        <v>35</v>
      </c>
      <c r="Q139" s="176"/>
      <c r="R139" s="176" t="s">
        <v>36</v>
      </c>
      <c r="S139" s="176"/>
      <c r="T139" s="177" t="s">
        <v>31</v>
      </c>
      <c r="U139" s="127">
        <f>IFERROR(VLOOKUP('Tab Summary'!L138,TeamRecord,4,FALSE ),0)</f>
        <v>0</v>
      </c>
      <c r="V139" s="128">
        <f>IFERROR(VLOOKUP('Tab Summary'!O138,TeamRecord,4,FALSE ),0)</f>
        <v>0</v>
      </c>
      <c r="W139" s="129">
        <f>IFERROR(VLOOKUP('Tab Summary'!L138,TeamRecord,6,FALSE ),0)</f>
        <v>0</v>
      </c>
      <c r="X139" s="127">
        <f>IFERROR(VLOOKUP('Tab Summary'!O138,TeamRecord,6,FALSE ),0)</f>
        <v>0</v>
      </c>
      <c r="Y139" s="171">
        <f>IF(Y138&lt;&gt;0,(IF(COUNTIF('Ballot Entry'!$Z$3:$Z$35,'Tab Summary'!P140)=2,IF(P140=W138,IF(COUNTIF(D139:F139,"W")&gt;COUNTIF(D139:F139,"L"),1,0),0)+IF(P140=X138,IF(COUNTIF(G139:I139,"W")&gt;COUNTIF(G139:I139,"L"),1,0),0)+IF(P140=W139,IF(COUNTIF(J139:L139,"W")&gt;COUNTIF(J139:L139,"L"),1,0),0)+IF(P140=X139,IF(COUNTIF(M139:O139,"W")&gt;COUNTIF(M139:O139,"L"),1,0),0),0)),0)</f>
        <v>0</v>
      </c>
      <c r="Z139" s="259" t="str">
        <f>IF(Teams&gt;42,"Show", "Hide")</f>
        <v>Hide</v>
      </c>
      <c r="AA139" s="158"/>
      <c r="AB139" s="158"/>
      <c r="AC139" s="159"/>
      <c r="AD139" s="159"/>
      <c r="AE139" s="158"/>
      <c r="AF139" s="158"/>
      <c r="AG139" s="159"/>
      <c r="AH139" s="159"/>
      <c r="AI139" s="159"/>
      <c r="AJ139" s="159"/>
      <c r="AK139" s="159"/>
      <c r="AL139" s="159"/>
      <c r="AM139" s="159"/>
      <c r="AN139" s="159"/>
      <c r="AO139" s="159"/>
      <c r="AP139" s="159"/>
      <c r="AQ139" s="159"/>
    </row>
    <row r="140" spans="1:43" s="151" customFormat="1" ht="13.5" hidden="1" customHeight="1" thickBot="1" x14ac:dyDescent="0.3">
      <c r="A140" s="436"/>
      <c r="B140" s="437"/>
      <c r="C140" s="438"/>
      <c r="D140" s="178" t="str">
        <f>IFERROR(IF(D138="Π",VLOOKUP($A138, Round1P,3,FALSE),VLOOKUP($A138,Round1D,3,FALSE)),"")</f>
        <v/>
      </c>
      <c r="E140" s="179" t="str">
        <f>IFERROR(IF(Ballots=3,IF(D138="Π",VLOOKUP($A138, Round1P,5,FALSE),VLOOKUP($A138,Round1D,5,FALSE)),""),"")</f>
        <v/>
      </c>
      <c r="F140" s="180" t="str">
        <f>IFERROR(IF(D138="Π",VLOOKUP($A138, Round1P,4,FALSE),VLOOKUP($A138,Round1D,4,FALSE)),"")</f>
        <v/>
      </c>
      <c r="G140" s="178" t="str">
        <f>IFERROR(IF(G138="Π",VLOOKUP($A138, Round2P,3,FALSE),VLOOKUP($A138,Round2D,3,FALSE)),"")</f>
        <v/>
      </c>
      <c r="H140" s="179" t="str">
        <f>IFERROR(IF(Ballots=3,IF(G138="Π",VLOOKUP($A138, Round2P,5,FALSE),VLOOKUP($A138,Round2D,5,FALSE)),""),"")</f>
        <v/>
      </c>
      <c r="I140" s="180" t="str">
        <f>IFERROR(IF(G138="Π",VLOOKUP($A138, Round2P,4,FALSE),VLOOKUP($A138,Round2D,4,FALSE)),"")</f>
        <v/>
      </c>
      <c r="J140" s="178" t="str">
        <f>IFERROR(IF(J138="Π",VLOOKUP($A138, Round3P,3,FALSE),VLOOKUP($A138,Round3D,3,FALSE)),"")</f>
        <v/>
      </c>
      <c r="K140" s="179" t="str">
        <f>IFERROR(IF(Ballots=3,IF(J138="Π",VLOOKUP($A138, Round3P,5,FALSE),VLOOKUP($A138,Round3D,5,FALSE)),""),"")</f>
        <v/>
      </c>
      <c r="L140" s="180" t="str">
        <f>IFERROR(IF(J138="Π",VLOOKUP($A138, Round3P,4,FALSE),VLOOKUP($A138,Round3D,4,FALSE)),"")</f>
        <v/>
      </c>
      <c r="M140" s="178" t="str">
        <f>IFERROR(IF(M138="Π",VLOOKUP($A138, Round4P,3,FALSE),VLOOKUP($A138,Round4D,3,FALSE)),"")</f>
        <v/>
      </c>
      <c r="N140" s="179" t="str">
        <f>IFERROR(IF(Ballots=3,IF(M138="Π",VLOOKUP($A138, Round4P,5,FALSE),VLOOKUP($A138,Round4D,5,FALSE)),""),"")</f>
        <v/>
      </c>
      <c r="O140" s="180" t="str">
        <f>IFERROR(IF(M138="Π",VLOOKUP($A138, Round4P,4,FALSE),VLOOKUP($A138,Round4D,4,FALSE)),"")</f>
        <v/>
      </c>
      <c r="P140" s="181">
        <f>'Tab Summary'!U138+'Tab Summary'!V138+'Tab Summary'!U139+'Tab Summary'!V139</f>
        <v>0</v>
      </c>
      <c r="Q140" s="182"/>
      <c r="R140" s="183">
        <f>SUM('Tab Summary'!W138:X139)</f>
        <v>0</v>
      </c>
      <c r="S140" s="184"/>
      <c r="T140" s="185">
        <f>SUM(D140:O140)</f>
        <v>0</v>
      </c>
      <c r="U140" s="130" t="s">
        <v>67</v>
      </c>
      <c r="V140" s="131">
        <f>IF(D138="Π",COUNTIF(D139:F139,"W"),0)+IF(G138="Π",COUNTIF(G139:I139,"W"),0)+IF(J138="Π",COUNTIF(J139:L139,"W"),0)+IF(M138="Π",COUNTIF(M139:O139,"W"),0)</f>
        <v>0</v>
      </c>
      <c r="W140" s="132" t="s">
        <v>68</v>
      </c>
      <c r="X140" s="130">
        <f>IF(D138="Δ",COUNTIF(D139:F139,"W"),0)+IF(G138="Δ",COUNTIF(G139:I139,"W"),0)+IF(J138="Δ",COUNTIF(J139:L139,"W"),0)+IF(M138="Δ",COUNTIF(M139:O139,"W"),0)</f>
        <v>0</v>
      </c>
      <c r="Y140" s="171"/>
      <c r="Z140" s="259" t="str">
        <f>IF(Teams&gt;42,"Show", "Hide")</f>
        <v>Hide</v>
      </c>
      <c r="AA140" s="158"/>
      <c r="AB140" s="158"/>
      <c r="AC140" s="159"/>
      <c r="AD140" s="159"/>
      <c r="AE140" s="158"/>
      <c r="AF140" s="158"/>
      <c r="AG140" s="159"/>
      <c r="AH140" s="159"/>
      <c r="AI140" s="159"/>
      <c r="AJ140" s="159"/>
      <c r="AK140" s="159"/>
      <c r="AL140" s="159"/>
      <c r="AM140" s="159"/>
      <c r="AN140" s="159"/>
      <c r="AO140" s="159"/>
      <c r="AP140" s="159"/>
      <c r="AQ140" s="159"/>
    </row>
    <row r="141" spans="1:43" s="151" customFormat="1" ht="13.5" hidden="1" customHeight="1" x14ac:dyDescent="0.25">
      <c r="A141" s="439">
        <f>'Tournament Info'!C58</f>
        <v>0</v>
      </c>
      <c r="B141" s="440"/>
      <c r="C141" s="441"/>
      <c r="D141" s="186" t="str">
        <f>IF(COUNTIF('Ballot Entry'!$M$3:$M$37,$A141)=1,"Π",IF(COUNTIF('Ballot Entry'!$N$3:$N$37,$A141)=1,"Δ",""))</f>
        <v/>
      </c>
      <c r="E141" s="187" t="s">
        <v>30</v>
      </c>
      <c r="F141" s="188" t="str">
        <f>IFERROR(IF(D141="Π",VLOOKUP($A141, Round1P,2,FALSE),VLOOKUP($A141,Round1D,2,FALSE)),"")</f>
        <v/>
      </c>
      <c r="G141" s="186" t="str">
        <f>IF(COUNTIF('Ballot Entry'!$M$109:$M$143,$A141)=1,"Π",IF(COUNTIF('Ballot Entry'!$N$109:$N$143,$A141)=1,"Δ",""))</f>
        <v/>
      </c>
      <c r="H141" s="187" t="s">
        <v>30</v>
      </c>
      <c r="I141" s="188" t="str">
        <f>IFERROR(IF(G141="Π",VLOOKUP($A141, Round2P,2,FALSE),VLOOKUP($A141,Round2D,2,FALSE)),"")</f>
        <v/>
      </c>
      <c r="J141" s="186" t="str">
        <f>IF(COUNTIF('Ballot Entry'!$M$215:$M$249,$A141)=1,"Π",IF(COUNTIF('Ballot Entry'!$N$215:$N$249,$A141)=1,"Δ",""))</f>
        <v/>
      </c>
      <c r="K141" s="187" t="s">
        <v>30</v>
      </c>
      <c r="L141" s="188" t="str">
        <f>IFERROR(IF(J141="Π",VLOOKUP($A141, Round3P,2,FALSE),VLOOKUP($A141,Round3D,2,FALSE)),"")</f>
        <v/>
      </c>
      <c r="M141" s="186" t="str">
        <f>IF(COUNTIF('Ballot Entry'!$M$321:$M$355,$A141)=1,"Π",IF(COUNTIF('Ballot Entry'!$N$321:$N$355,$A141)=1,"Δ",""))</f>
        <v/>
      </c>
      <c r="N141" s="187" t="s">
        <v>30</v>
      </c>
      <c r="O141" s="188" t="str">
        <f>IFERROR(IF(M141="Π",VLOOKUP($A141, Round4P,2,FALSE),VLOOKUP($A141,Round4D,2,FALSE)),"")</f>
        <v/>
      </c>
      <c r="P141" s="189">
        <f>COUNTIF(D142:O142,"W")</f>
        <v>0</v>
      </c>
      <c r="Q141" s="190" t="s">
        <v>34</v>
      </c>
      <c r="R141" s="191">
        <f>COUNTIF(D142:O142,"L")</f>
        <v>0</v>
      </c>
      <c r="S141" s="192" t="s">
        <v>34</v>
      </c>
      <c r="T141" s="193">
        <f>COUNTIF(D142:O142,"T")</f>
        <v>0</v>
      </c>
      <c r="U141" s="124">
        <f>IFERROR(VLOOKUP('Tab Summary'!F141,TeamRecord,4,FALSE ),0)</f>
        <v>0</v>
      </c>
      <c r="V141" s="125">
        <f>IFERROR(VLOOKUP('Tab Summary'!I141,TeamRecord,4,FALSE ),0)</f>
        <v>0</v>
      </c>
      <c r="W141" s="126">
        <f>IFERROR(VLOOKUP('Tab Summary'!F141,TeamRecord,6,FALSE ),0)</f>
        <v>0</v>
      </c>
      <c r="X141" s="124">
        <f>IFERROR(VLOOKUP('Tab Summary'!I141,TeamRecord,6,FALSE ),0)</f>
        <v>0</v>
      </c>
      <c r="Y141" s="171">
        <f>IF(COUNTIF('Ballot Entry'!$X$3:$X$221,(P141+(T141/2)))=2,IF((P141+(T141/2))=U141,IF(COUNTIF(D142:F142,"W")&gt;COUNTIF(D142:F142,"L"),F141,0),0)+IF((P141+(T141/2))=V141,IF(COUNTIF(G142:I142,"W")&gt;COUNTIF(G142:I142,"L"),I141,0),0)+IF((P141+(T141/2))=U142,IF(COUNTIF(J142:L142,"W")&gt;COUNTIF(J142:L142,"L"),L141,0),0)+IF((P141+(T141/2))=V142,IF(COUNTIF(M142:O142,"W")&gt;COUNTIF(M142:O142,"L"),O141,0),0),0)</f>
        <v>0</v>
      </c>
      <c r="Z141" s="259" t="str">
        <f>IF(Teams&gt;43,"Show", "Hide")</f>
        <v>Hide</v>
      </c>
      <c r="AA141" s="158"/>
      <c r="AB141" s="158"/>
      <c r="AC141" s="159"/>
      <c r="AD141" s="159"/>
      <c r="AE141" s="158"/>
      <c r="AF141" s="158"/>
      <c r="AG141" s="159"/>
      <c r="AH141" s="159"/>
      <c r="AI141" s="159"/>
      <c r="AJ141" s="159"/>
      <c r="AK141" s="159"/>
      <c r="AL141" s="159"/>
      <c r="AM141" s="159"/>
      <c r="AN141" s="159"/>
      <c r="AO141" s="159"/>
      <c r="AP141" s="159"/>
      <c r="AQ141" s="159"/>
    </row>
    <row r="142" spans="1:43" s="151" customFormat="1" ht="13.5" hidden="1" customHeight="1" x14ac:dyDescent="0.25">
      <c r="A142" s="443">
        <f>'Tournament Info'!B58</f>
        <v>0</v>
      </c>
      <c r="B142" s="425"/>
      <c r="C142" s="426"/>
      <c r="D142" s="194" t="str">
        <f t="shared" ref="D142:O142" si="43">IF(D143="","",IF(D143&gt;0,"W",IF(D143&lt;0,"L",IF(D143=0,"T"))))</f>
        <v/>
      </c>
      <c r="E142" s="195" t="str">
        <f t="shared" si="43"/>
        <v/>
      </c>
      <c r="F142" s="196" t="str">
        <f t="shared" si="43"/>
        <v/>
      </c>
      <c r="G142" s="194" t="str">
        <f t="shared" si="43"/>
        <v/>
      </c>
      <c r="H142" s="195" t="str">
        <f t="shared" si="43"/>
        <v/>
      </c>
      <c r="I142" s="196" t="str">
        <f t="shared" si="43"/>
        <v/>
      </c>
      <c r="J142" s="194" t="str">
        <f t="shared" si="43"/>
        <v/>
      </c>
      <c r="K142" s="195" t="str">
        <f t="shared" si="43"/>
        <v/>
      </c>
      <c r="L142" s="196" t="str">
        <f t="shared" si="43"/>
        <v/>
      </c>
      <c r="M142" s="194" t="str">
        <f t="shared" si="43"/>
        <v/>
      </c>
      <c r="N142" s="195" t="str">
        <f t="shared" si="43"/>
        <v/>
      </c>
      <c r="O142" s="196" t="str">
        <f t="shared" si="43"/>
        <v/>
      </c>
      <c r="P142" s="197" t="s">
        <v>35</v>
      </c>
      <c r="Q142" s="198"/>
      <c r="R142" s="198" t="s">
        <v>36</v>
      </c>
      <c r="S142" s="198"/>
      <c r="T142" s="199" t="s">
        <v>31</v>
      </c>
      <c r="U142" s="127">
        <f>IFERROR(VLOOKUP('Tab Summary'!L141,TeamRecord,4,FALSE ),0)</f>
        <v>0</v>
      </c>
      <c r="V142" s="128">
        <f>IFERROR(VLOOKUP('Tab Summary'!O141,TeamRecord,4,FALSE ),0)</f>
        <v>0</v>
      </c>
      <c r="W142" s="129">
        <f>IFERROR(VLOOKUP('Tab Summary'!L141,TeamRecord,6,FALSE ),0)</f>
        <v>0</v>
      </c>
      <c r="X142" s="127">
        <f>IFERROR(VLOOKUP('Tab Summary'!O141,TeamRecord,6,FALSE ),0)</f>
        <v>0</v>
      </c>
      <c r="Y142" s="171">
        <f>IF(Y141&lt;&gt;0,(IF(COUNTIF('Ballot Entry'!$Z$3:$Z$35,'Tab Summary'!P143)=2,IF(P143=W141,IF(COUNTIF(D142:F142,"W")&gt;COUNTIF(D142:F142,"L"),1,0),0)+IF(P143=X141,IF(COUNTIF(G142:I142,"W")&gt;COUNTIF(G142:I142,"L"),1,0),0)+IF(P143=W142,IF(COUNTIF(J142:L142,"W")&gt;COUNTIF(J142:L142,"L"),1,0),0)+IF(P143=X142,IF(COUNTIF(M142:O142,"W")&gt;COUNTIF(M142:O142,"L"),1,0),0),0)),0)</f>
        <v>0</v>
      </c>
      <c r="Z142" s="259" t="str">
        <f>IF(Teams&gt;43,"Show", "Hide")</f>
        <v>Hide</v>
      </c>
      <c r="AA142" s="158"/>
      <c r="AB142" s="158"/>
      <c r="AC142" s="159"/>
      <c r="AD142" s="159"/>
      <c r="AE142" s="158"/>
      <c r="AF142" s="158"/>
      <c r="AG142" s="159"/>
      <c r="AH142" s="159"/>
      <c r="AI142" s="159"/>
      <c r="AJ142" s="159"/>
      <c r="AK142" s="159"/>
      <c r="AL142" s="159"/>
      <c r="AM142" s="159"/>
      <c r="AN142" s="159"/>
      <c r="AO142" s="159"/>
      <c r="AP142" s="159"/>
      <c r="AQ142" s="159"/>
    </row>
    <row r="143" spans="1:43" s="151" customFormat="1" ht="13.5" hidden="1" customHeight="1" thickBot="1" x14ac:dyDescent="0.3">
      <c r="A143" s="427"/>
      <c r="B143" s="428"/>
      <c r="C143" s="429"/>
      <c r="D143" s="200" t="str">
        <f>IFERROR(IF(D141="Π",VLOOKUP($A141, Round1P,3,FALSE),VLOOKUP($A141,Round1D,3,FALSE)),"")</f>
        <v/>
      </c>
      <c r="E143" s="201" t="str">
        <f>IFERROR(IF(Ballots=3,IF(D141="Π",VLOOKUP($A141, Round1P,5,FALSE),VLOOKUP($A141,Round1D,5,FALSE)),""),"")</f>
        <v/>
      </c>
      <c r="F143" s="202" t="str">
        <f>IFERROR(IF(D141="Π",VLOOKUP($A141, Round1P,4,FALSE),VLOOKUP($A141,Round1D,4,FALSE)),"")</f>
        <v/>
      </c>
      <c r="G143" s="200" t="str">
        <f>IFERROR(IF(G141="Π",VLOOKUP($A141, Round2P,3,FALSE),VLOOKUP($A141,Round2D,3,FALSE)),"")</f>
        <v/>
      </c>
      <c r="H143" s="201" t="str">
        <f>IFERROR(IF(Ballots=3,IF(G141="Π",VLOOKUP($A141, Round2P,5,FALSE),VLOOKUP($A141,Round2D,5,FALSE)),""),"")</f>
        <v/>
      </c>
      <c r="I143" s="202" t="str">
        <f>IFERROR(IF(G141="Π",VLOOKUP($A141, Round2P,4,FALSE),VLOOKUP($A141,Round2D,4,FALSE)),"")</f>
        <v/>
      </c>
      <c r="J143" s="200" t="str">
        <f>IFERROR(IF(J141="Π",VLOOKUP($A141, Round3P,3,FALSE),VLOOKUP($A141,Round3D,3,FALSE)),"")</f>
        <v/>
      </c>
      <c r="K143" s="201" t="str">
        <f>IFERROR(IF(Ballots=3,IF(J141="Π",VLOOKUP($A141, Round3P,5,FALSE),VLOOKUP($A141,Round3D,5,FALSE)),""),"")</f>
        <v/>
      </c>
      <c r="L143" s="202" t="str">
        <f>IFERROR(IF(J141="Π",VLOOKUP($A141, Round3P,4,FALSE),VLOOKUP($A141,Round3D,4,FALSE)),"")</f>
        <v/>
      </c>
      <c r="M143" s="200" t="str">
        <f>IFERROR(IF(M141="Π",VLOOKUP($A141, Round4P,3,FALSE),VLOOKUP($A141,Round4D,3,FALSE)),"")</f>
        <v/>
      </c>
      <c r="N143" s="201" t="str">
        <f>IFERROR(IF(Ballots=3,IF(M141="Π",VLOOKUP($A141, Round4P,5,FALSE),VLOOKUP($A141,Round4D,5,FALSE)),""),"")</f>
        <v/>
      </c>
      <c r="O143" s="202" t="str">
        <f>IFERROR(IF(M141="Π",VLOOKUP($A141, Round4P,4,FALSE),VLOOKUP($A141,Round4D,4,FALSE)),"")</f>
        <v/>
      </c>
      <c r="P143" s="203">
        <f>'Tab Summary'!U141+'Tab Summary'!V141+'Tab Summary'!U142+'Tab Summary'!V142</f>
        <v>0</v>
      </c>
      <c r="Q143" s="204"/>
      <c r="R143" s="205">
        <f>SUM('Tab Summary'!W141:X142)</f>
        <v>0</v>
      </c>
      <c r="S143" s="206"/>
      <c r="T143" s="207">
        <f>SUM(D143:O143)</f>
        <v>0</v>
      </c>
      <c r="U143" s="130" t="s">
        <v>67</v>
      </c>
      <c r="V143" s="131">
        <f>IF(D141="Π",COUNTIF(D142:F142,"W"),0)+IF(G141="Π",COUNTIF(G142:I142,"W"),0)+IF(J141="Π",COUNTIF(J142:L142,"W"),0)+IF(M141="Π",COUNTIF(M142:O142,"W"),0)</f>
        <v>0</v>
      </c>
      <c r="W143" s="132" t="s">
        <v>68</v>
      </c>
      <c r="X143" s="130">
        <f>IF(D141="Δ",COUNTIF(D142:F142,"W"),0)+IF(G141="Δ",COUNTIF(G142:I142,"W"),0)+IF(J141="Δ",COUNTIF(J142:L142,"W"),0)+IF(M141="Δ",COUNTIF(M142:O142,"W"),0)</f>
        <v>0</v>
      </c>
      <c r="Y143" s="171"/>
      <c r="Z143" s="259" t="str">
        <f>IF(Teams&gt;43,"Show", "Hide")</f>
        <v>Hide</v>
      </c>
      <c r="AA143" s="158"/>
      <c r="AB143" s="158"/>
      <c r="AC143" s="159"/>
      <c r="AD143" s="159"/>
      <c r="AE143" s="158"/>
      <c r="AF143" s="158"/>
      <c r="AG143" s="159"/>
      <c r="AH143" s="159"/>
      <c r="AI143" s="159"/>
      <c r="AJ143" s="159"/>
      <c r="AK143" s="159"/>
      <c r="AL143" s="159"/>
      <c r="AM143" s="159"/>
      <c r="AN143" s="159"/>
      <c r="AO143" s="159"/>
      <c r="AP143" s="159"/>
      <c r="AQ143" s="159"/>
    </row>
    <row r="144" spans="1:43" s="151" customFormat="1" ht="13.5" hidden="1" customHeight="1" x14ac:dyDescent="0.25">
      <c r="A144" s="430">
        <f>'Tournament Info'!C59</f>
        <v>0</v>
      </c>
      <c r="B144" s="431"/>
      <c r="C144" s="432"/>
      <c r="D144" s="163" t="str">
        <f>IF(COUNTIF('Ballot Entry'!$M$3:$M$37,$A144)=1,"Π",IF(COUNTIF('Ballot Entry'!$N$3:$N$37,$A144)=1,"Δ",""))</f>
        <v/>
      </c>
      <c r="E144" s="164" t="s">
        <v>30</v>
      </c>
      <c r="F144" s="165" t="str">
        <f>IFERROR(IF(D144="Π",VLOOKUP($A144, Round1P,2,FALSE),VLOOKUP($A144,Round1D,2,FALSE)),"")</f>
        <v/>
      </c>
      <c r="G144" s="163" t="str">
        <f>IF(COUNTIF('Ballot Entry'!$M$109:$M$143,$A144)=1,"Π",IF(COUNTIF('Ballot Entry'!$N$109:$N$143,$A144)=1,"Δ",""))</f>
        <v/>
      </c>
      <c r="H144" s="164" t="s">
        <v>30</v>
      </c>
      <c r="I144" s="165" t="str">
        <f>IFERROR(IF(G144="Π",VLOOKUP($A144, Round2P,2,FALSE),VLOOKUP($A144,Round2D,2,FALSE)),"")</f>
        <v/>
      </c>
      <c r="J144" s="163" t="str">
        <f>IF(COUNTIF('Ballot Entry'!$M$215:$M$249,$A144)=1,"Π",IF(COUNTIF('Ballot Entry'!$N$215:$N$249,$A144)=1,"Δ",""))</f>
        <v/>
      </c>
      <c r="K144" s="164" t="s">
        <v>30</v>
      </c>
      <c r="L144" s="165" t="str">
        <f>IFERROR(IF(J144="Π",VLOOKUP($A144, Round3P,2,FALSE),VLOOKUP($A144,Round3D,2,FALSE)),"")</f>
        <v/>
      </c>
      <c r="M144" s="163" t="str">
        <f>IF(COUNTIF('Ballot Entry'!$M$321:$M$355,$A144)=1,"Π",IF(COUNTIF('Ballot Entry'!$N$321:$N$355,$A144)=1,"Δ",""))</f>
        <v/>
      </c>
      <c r="N144" s="164" t="s">
        <v>30</v>
      </c>
      <c r="O144" s="165" t="str">
        <f>IFERROR(IF(M144="Π",VLOOKUP($A144, Round4P,2,FALSE),VLOOKUP($A144,Round4D,2,FALSE)),"")</f>
        <v/>
      </c>
      <c r="P144" s="166">
        <f>COUNTIF(D145:O145,"W")</f>
        <v>0</v>
      </c>
      <c r="Q144" s="167" t="s">
        <v>34</v>
      </c>
      <c r="R144" s="168">
        <f>COUNTIF(D145:O145,"L")</f>
        <v>0</v>
      </c>
      <c r="S144" s="169" t="s">
        <v>34</v>
      </c>
      <c r="T144" s="170">
        <f>COUNTIF(D145:O145,"T")</f>
        <v>0</v>
      </c>
      <c r="U144" s="124">
        <f>IFERROR(VLOOKUP('Tab Summary'!F144,TeamRecord,4,FALSE ),0)</f>
        <v>0</v>
      </c>
      <c r="V144" s="125">
        <f>IFERROR(VLOOKUP('Tab Summary'!I144,TeamRecord,4,FALSE ),0)</f>
        <v>0</v>
      </c>
      <c r="W144" s="126">
        <f>IFERROR(VLOOKUP('Tab Summary'!F144,TeamRecord,6,FALSE ),0)</f>
        <v>0</v>
      </c>
      <c r="X144" s="124">
        <f>IFERROR(VLOOKUP('Tab Summary'!I144,TeamRecord,6,FALSE ),0)</f>
        <v>0</v>
      </c>
      <c r="Y144" s="171">
        <f>IF(COUNTIF('Ballot Entry'!$X$3:$X$221,(P144+(T144/2)))=2,IF((P144+(T144/2))=U144,IF(COUNTIF(D145:F145,"W")&gt;COUNTIF(D145:F145,"L"),F144,0),0)+IF((P144+(T144/2))=V144,IF(COUNTIF(G145:I145,"W")&gt;COUNTIF(G145:I145,"L"),I144,0),0)+IF((P144+(T144/2))=U145,IF(COUNTIF(J145:L145,"W")&gt;COUNTIF(J145:L145,"L"),L144,0),0)+IF((P144+(T144/2))=V145,IF(COUNTIF(M145:O145,"W")&gt;COUNTIF(M145:O145,"L"),O144,0),0),0)</f>
        <v>0</v>
      </c>
      <c r="Z144" s="171" t="str">
        <f>IF(Teams&gt;44,"Show", "Hide")</f>
        <v>Hide</v>
      </c>
      <c r="AA144" s="158"/>
      <c r="AB144" s="158"/>
      <c r="AC144" s="159"/>
      <c r="AD144" s="159"/>
      <c r="AE144" s="158"/>
      <c r="AF144" s="158"/>
      <c r="AG144" s="159"/>
      <c r="AH144" s="159"/>
      <c r="AI144" s="159"/>
      <c r="AJ144" s="159"/>
      <c r="AK144" s="159"/>
      <c r="AL144" s="159"/>
      <c r="AM144" s="159"/>
      <c r="AN144" s="159"/>
      <c r="AO144" s="159"/>
      <c r="AP144" s="159"/>
      <c r="AQ144" s="159"/>
    </row>
    <row r="145" spans="1:43" s="151" customFormat="1" ht="13.5" hidden="1" customHeight="1" x14ac:dyDescent="0.25">
      <c r="A145" s="442">
        <f>'Tournament Info'!B59</f>
        <v>0</v>
      </c>
      <c r="B145" s="434"/>
      <c r="C145" s="435"/>
      <c r="D145" s="172" t="str">
        <f t="shared" ref="D145:O145" si="44">IF(D146="","",IF(D146&gt;0,"W",IF(D146&lt;0,"L",IF(D146=0,"T"))))</f>
        <v/>
      </c>
      <c r="E145" s="173" t="str">
        <f t="shared" si="44"/>
        <v/>
      </c>
      <c r="F145" s="174" t="str">
        <f t="shared" si="44"/>
        <v/>
      </c>
      <c r="G145" s="172" t="str">
        <f t="shared" si="44"/>
        <v/>
      </c>
      <c r="H145" s="173" t="str">
        <f t="shared" si="44"/>
        <v/>
      </c>
      <c r="I145" s="174" t="str">
        <f t="shared" si="44"/>
        <v/>
      </c>
      <c r="J145" s="172" t="str">
        <f t="shared" si="44"/>
        <v/>
      </c>
      <c r="K145" s="173" t="str">
        <f t="shared" si="44"/>
        <v/>
      </c>
      <c r="L145" s="174" t="str">
        <f t="shared" si="44"/>
        <v/>
      </c>
      <c r="M145" s="172" t="str">
        <f t="shared" si="44"/>
        <v/>
      </c>
      <c r="N145" s="173" t="str">
        <f t="shared" si="44"/>
        <v/>
      </c>
      <c r="O145" s="174" t="str">
        <f t="shared" si="44"/>
        <v/>
      </c>
      <c r="P145" s="175" t="s">
        <v>35</v>
      </c>
      <c r="Q145" s="176"/>
      <c r="R145" s="176" t="s">
        <v>36</v>
      </c>
      <c r="S145" s="176"/>
      <c r="T145" s="177" t="s">
        <v>31</v>
      </c>
      <c r="U145" s="127">
        <f>IFERROR(VLOOKUP('Tab Summary'!L144,TeamRecord,4,FALSE ),0)</f>
        <v>0</v>
      </c>
      <c r="V145" s="128">
        <f>IFERROR(VLOOKUP('Tab Summary'!O144,TeamRecord,4,FALSE ),0)</f>
        <v>0</v>
      </c>
      <c r="W145" s="129">
        <f>IFERROR(VLOOKUP('Tab Summary'!L144,TeamRecord,6,FALSE ),0)</f>
        <v>0</v>
      </c>
      <c r="X145" s="127">
        <f>IFERROR(VLOOKUP('Tab Summary'!O144,TeamRecord,6,FALSE ),0)</f>
        <v>0</v>
      </c>
      <c r="Y145" s="171">
        <f>IF(Y144&lt;&gt;0,(IF(COUNTIF('Ballot Entry'!$Z$3:$Z$35,'Tab Summary'!P146)=2,IF(P146=W144,IF(COUNTIF(D145:F145,"W")&gt;COUNTIF(D145:F145,"L"),1,0),0)+IF(P146=X144,IF(COUNTIF(G145:I145,"W")&gt;COUNTIF(G145:I145,"L"),1,0),0)+IF(P146=W145,IF(COUNTIF(J145:L145,"W")&gt;COUNTIF(J145:L145,"L"),1,0),0)+IF(P146=X145,IF(COUNTIF(M145:O145,"W")&gt;COUNTIF(M145:O145,"L"),1,0),0),0)),0)</f>
        <v>0</v>
      </c>
      <c r="Z145" s="171" t="str">
        <f>IF(Teams&gt;44,"Show", "Hide")</f>
        <v>Hide</v>
      </c>
      <c r="AA145" s="158"/>
      <c r="AB145" s="158"/>
      <c r="AC145" s="159"/>
      <c r="AD145" s="159"/>
      <c r="AE145" s="158"/>
      <c r="AF145" s="158"/>
      <c r="AG145" s="159"/>
      <c r="AH145" s="159"/>
      <c r="AI145" s="159"/>
      <c r="AJ145" s="159"/>
      <c r="AK145" s="159"/>
      <c r="AL145" s="159"/>
      <c r="AM145" s="159"/>
      <c r="AN145" s="159"/>
      <c r="AO145" s="159"/>
      <c r="AP145" s="159"/>
      <c r="AQ145" s="159"/>
    </row>
    <row r="146" spans="1:43" s="151" customFormat="1" ht="13.5" hidden="1" customHeight="1" thickBot="1" x14ac:dyDescent="0.3">
      <c r="A146" s="436"/>
      <c r="B146" s="437"/>
      <c r="C146" s="438"/>
      <c r="D146" s="178" t="str">
        <f>IFERROR(IF(D144="Π",VLOOKUP($A144, Round1P,3,FALSE),VLOOKUP($A144,Round1D,3,FALSE)),"")</f>
        <v/>
      </c>
      <c r="E146" s="179" t="str">
        <f>IFERROR(IF(Ballots=3,IF(D144="Π",VLOOKUP($A144, Round1P,5,FALSE),VLOOKUP($A144,Round1D,5,FALSE)),""),"")</f>
        <v/>
      </c>
      <c r="F146" s="180" t="str">
        <f>IFERROR(IF(D144="Π",VLOOKUP($A144, Round1P,4,FALSE),VLOOKUP($A144,Round1D,4,FALSE)),"")</f>
        <v/>
      </c>
      <c r="G146" s="178" t="str">
        <f>IFERROR(IF(G144="Π",VLOOKUP($A144, Round2P,3,FALSE),VLOOKUP($A144,Round2D,3,FALSE)),"")</f>
        <v/>
      </c>
      <c r="H146" s="179" t="str">
        <f>IFERROR(IF(Ballots=3,IF(G144="Π",VLOOKUP($A144, Round2P,5,FALSE),VLOOKUP($A144,Round2D,5,FALSE)),""),"")</f>
        <v/>
      </c>
      <c r="I146" s="180" t="str">
        <f>IFERROR(IF(G144="Π",VLOOKUP($A144, Round2P,4,FALSE),VLOOKUP($A144,Round2D,4,FALSE)),"")</f>
        <v/>
      </c>
      <c r="J146" s="178" t="str">
        <f>IFERROR(IF(J144="Π",VLOOKUP($A144, Round3P,3,FALSE),VLOOKUP($A144,Round3D,3,FALSE)),"")</f>
        <v/>
      </c>
      <c r="K146" s="179" t="str">
        <f>IFERROR(IF(Ballots=3,IF(J144="Π",VLOOKUP($A144, Round3P,5,FALSE),VLOOKUP($A144,Round3D,5,FALSE)),""),"")</f>
        <v/>
      </c>
      <c r="L146" s="180" t="str">
        <f>IFERROR(IF(J144="Π",VLOOKUP($A144, Round3P,4,FALSE),VLOOKUP($A144,Round3D,4,FALSE)),"")</f>
        <v/>
      </c>
      <c r="M146" s="178" t="str">
        <f>IFERROR(IF(M144="Π",VLOOKUP($A144, Round4P,3,FALSE),VLOOKUP($A144,Round4D,3,FALSE)),"")</f>
        <v/>
      </c>
      <c r="N146" s="179" t="str">
        <f>IFERROR(IF(Ballots=3,IF(M144="Π",VLOOKUP($A144, Round4P,5,FALSE),VLOOKUP($A144,Round4D,5,FALSE)),""),"")</f>
        <v/>
      </c>
      <c r="O146" s="180" t="str">
        <f>IFERROR(IF(M144="Π",VLOOKUP($A144, Round4P,4,FALSE),VLOOKUP($A144,Round4D,4,FALSE)),"")</f>
        <v/>
      </c>
      <c r="P146" s="181">
        <f>'Tab Summary'!U144+'Tab Summary'!V144+'Tab Summary'!U145+'Tab Summary'!V145</f>
        <v>0</v>
      </c>
      <c r="Q146" s="182"/>
      <c r="R146" s="183">
        <f>SUM('Tab Summary'!W144:X145)</f>
        <v>0</v>
      </c>
      <c r="S146" s="184"/>
      <c r="T146" s="185">
        <f>SUM(D146:O146)</f>
        <v>0</v>
      </c>
      <c r="U146" s="130" t="s">
        <v>67</v>
      </c>
      <c r="V146" s="131">
        <f>IF(D144="Π",COUNTIF(D145:F145,"W"),0)+IF(G144="Π",COUNTIF(G145:I145,"W"),0)+IF(J144="Π",COUNTIF(J145:L145,"W"),0)+IF(M144="Π",COUNTIF(M145:O145,"W"),0)</f>
        <v>0</v>
      </c>
      <c r="W146" s="132" t="s">
        <v>68</v>
      </c>
      <c r="X146" s="130">
        <f>IF(D144="Δ",COUNTIF(D145:F145,"W"),0)+IF(G144="Δ",COUNTIF(G145:I145,"W"),0)+IF(J144="Δ",COUNTIF(J145:L145,"W"),0)+IF(M144="Δ",COUNTIF(M145:O145,"W"),0)</f>
        <v>0</v>
      </c>
      <c r="Y146" s="171"/>
      <c r="Z146" s="171" t="str">
        <f>IF(Teams&gt;44,"Show", "Hide")</f>
        <v>Hide</v>
      </c>
      <c r="AA146" s="158"/>
      <c r="AB146" s="158"/>
      <c r="AC146" s="159"/>
      <c r="AD146" s="159"/>
      <c r="AE146" s="158"/>
      <c r="AF146" s="158"/>
      <c r="AG146" s="159"/>
      <c r="AH146" s="159"/>
      <c r="AI146" s="159"/>
      <c r="AJ146" s="159"/>
      <c r="AK146" s="159"/>
      <c r="AL146" s="159"/>
      <c r="AM146" s="159"/>
      <c r="AN146" s="159"/>
      <c r="AO146" s="159"/>
      <c r="AP146" s="159"/>
      <c r="AQ146" s="159"/>
    </row>
    <row r="147" spans="1:43" s="151" customFormat="1" ht="13.5" hidden="1" customHeight="1" x14ac:dyDescent="0.25">
      <c r="A147" s="439">
        <f>'Tournament Info'!C60</f>
        <v>0</v>
      </c>
      <c r="B147" s="440"/>
      <c r="C147" s="441"/>
      <c r="D147" s="186" t="str">
        <f>IF(COUNTIF('Ballot Entry'!$M$3:$M$37,$A147)=1,"Π",IF(COUNTIF('Ballot Entry'!$N$3:$N$37,$A147)=1,"Δ",""))</f>
        <v/>
      </c>
      <c r="E147" s="187" t="s">
        <v>30</v>
      </c>
      <c r="F147" s="188" t="str">
        <f>IFERROR(IF(D147="Π",VLOOKUP($A147, Round1P,2,FALSE),VLOOKUP($A147,Round1D,2,FALSE)),"")</f>
        <v/>
      </c>
      <c r="G147" s="186" t="str">
        <f>IF(COUNTIF('Ballot Entry'!$M$109:$M$143,$A147)=1,"Π",IF(COUNTIF('Ballot Entry'!$N$109:$N$143,$A147)=1,"Δ",""))</f>
        <v/>
      </c>
      <c r="H147" s="187" t="s">
        <v>30</v>
      </c>
      <c r="I147" s="188" t="str">
        <f>IFERROR(IF(G147="Π",VLOOKUP($A147, Round2P,2,FALSE),VLOOKUP($A147,Round2D,2,FALSE)),"")</f>
        <v/>
      </c>
      <c r="J147" s="186" t="str">
        <f>IF(COUNTIF('Ballot Entry'!$M$215:$M$249,$A147)=1,"Π",IF(COUNTIF('Ballot Entry'!$N$215:$N$249,$A147)=1,"Δ",""))</f>
        <v/>
      </c>
      <c r="K147" s="187" t="s">
        <v>30</v>
      </c>
      <c r="L147" s="188" t="str">
        <f>IFERROR(IF(J147="Π",VLOOKUP($A147, Round3P,2,FALSE),VLOOKUP($A147,Round3D,2,FALSE)),"")</f>
        <v/>
      </c>
      <c r="M147" s="186" t="str">
        <f>IF(COUNTIF('Ballot Entry'!$M$321:$M$355,$A147)=1,"Π",IF(COUNTIF('Ballot Entry'!$N$321:$N$355,$A147)=1,"Δ",""))</f>
        <v/>
      </c>
      <c r="N147" s="187" t="s">
        <v>30</v>
      </c>
      <c r="O147" s="188" t="str">
        <f>IFERROR(IF(M147="Π",VLOOKUP($A147, Round4P,2,FALSE),VLOOKUP($A147,Round4D,2,FALSE)),"")</f>
        <v/>
      </c>
      <c r="P147" s="189">
        <f>COUNTIF(D148:O148,"W")</f>
        <v>0</v>
      </c>
      <c r="Q147" s="190" t="s">
        <v>34</v>
      </c>
      <c r="R147" s="191">
        <f>COUNTIF(D148:O148,"L")</f>
        <v>0</v>
      </c>
      <c r="S147" s="192" t="s">
        <v>34</v>
      </c>
      <c r="T147" s="193">
        <f>COUNTIF(D148:O148,"T")</f>
        <v>0</v>
      </c>
      <c r="U147" s="124">
        <f>IFERROR(VLOOKUP('Tab Summary'!F147,TeamRecord,4,FALSE ),0)</f>
        <v>0</v>
      </c>
      <c r="V147" s="125">
        <f>IFERROR(VLOOKUP('Tab Summary'!I147,TeamRecord,4,FALSE ),0)</f>
        <v>0</v>
      </c>
      <c r="W147" s="126">
        <f>IFERROR(VLOOKUP('Tab Summary'!F147,TeamRecord,6,FALSE ),0)</f>
        <v>0</v>
      </c>
      <c r="X147" s="124">
        <f>IFERROR(VLOOKUP('Tab Summary'!I147,TeamRecord,6,FALSE ),0)</f>
        <v>0</v>
      </c>
      <c r="Y147" s="171">
        <f>IF(COUNTIF('Ballot Entry'!$X$3:$X$221,(P147+(T147/2)))=2,IF((P147+(T147/2))=U147,IF(COUNTIF(D148:F148,"W")&gt;COUNTIF(D148:F148,"L"),F147,0),0)+IF((P147+(T147/2))=V147,IF(COUNTIF(G148:I148,"W")&gt;COUNTIF(G148:I148,"L"),I147,0),0)+IF((P147+(T147/2))=U148,IF(COUNTIF(J148:L148,"W")&gt;COUNTIF(J148:L148,"L"),L147,0),0)+IF((P147+(T147/2))=V148,IF(COUNTIF(M148:O148,"W")&gt;COUNTIF(M148:O148,"L"),O147,0),0),0)</f>
        <v>0</v>
      </c>
      <c r="Z147" s="171" t="str">
        <f>IF(Teams&gt;45,"Show", "Hide")</f>
        <v>Hide</v>
      </c>
      <c r="AA147" s="158"/>
      <c r="AB147" s="158"/>
      <c r="AC147" s="159"/>
      <c r="AD147" s="159"/>
      <c r="AE147" s="158"/>
      <c r="AF147" s="158"/>
      <c r="AG147" s="159"/>
      <c r="AH147" s="159"/>
      <c r="AI147" s="159"/>
      <c r="AJ147" s="159"/>
      <c r="AK147" s="159"/>
      <c r="AL147" s="159"/>
      <c r="AM147" s="159"/>
      <c r="AN147" s="159"/>
      <c r="AO147" s="159"/>
      <c r="AP147" s="159"/>
      <c r="AQ147" s="159"/>
    </row>
    <row r="148" spans="1:43" s="151" customFormat="1" ht="13.5" hidden="1" customHeight="1" x14ac:dyDescent="0.25">
      <c r="A148" s="443">
        <f>'Tournament Info'!B60</f>
        <v>0</v>
      </c>
      <c r="B148" s="425"/>
      <c r="C148" s="426"/>
      <c r="D148" s="194" t="str">
        <f t="shared" ref="D148:O148" si="45">IF(D149="","",IF(D149&gt;0,"W",IF(D149&lt;0,"L",IF(D149=0,"T"))))</f>
        <v/>
      </c>
      <c r="E148" s="195" t="str">
        <f t="shared" si="45"/>
        <v/>
      </c>
      <c r="F148" s="196" t="str">
        <f t="shared" si="45"/>
        <v/>
      </c>
      <c r="G148" s="194" t="str">
        <f t="shared" si="45"/>
        <v/>
      </c>
      <c r="H148" s="195" t="str">
        <f t="shared" si="45"/>
        <v/>
      </c>
      <c r="I148" s="196" t="str">
        <f t="shared" si="45"/>
        <v/>
      </c>
      <c r="J148" s="194" t="str">
        <f t="shared" si="45"/>
        <v/>
      </c>
      <c r="K148" s="195" t="str">
        <f t="shared" si="45"/>
        <v/>
      </c>
      <c r="L148" s="196" t="str">
        <f t="shared" si="45"/>
        <v/>
      </c>
      <c r="M148" s="194" t="str">
        <f t="shared" si="45"/>
        <v/>
      </c>
      <c r="N148" s="195" t="str">
        <f t="shared" si="45"/>
        <v/>
      </c>
      <c r="O148" s="196" t="str">
        <f t="shared" si="45"/>
        <v/>
      </c>
      <c r="P148" s="197" t="s">
        <v>35</v>
      </c>
      <c r="Q148" s="198"/>
      <c r="R148" s="198" t="s">
        <v>36</v>
      </c>
      <c r="S148" s="198"/>
      <c r="T148" s="199" t="s">
        <v>31</v>
      </c>
      <c r="U148" s="127">
        <f>IFERROR(VLOOKUP('Tab Summary'!L147,TeamRecord,4,FALSE ),0)</f>
        <v>0</v>
      </c>
      <c r="V148" s="128">
        <f>IFERROR(VLOOKUP('Tab Summary'!O147,TeamRecord,4,FALSE ),0)</f>
        <v>0</v>
      </c>
      <c r="W148" s="129">
        <f>IFERROR(VLOOKUP('Tab Summary'!L147,TeamRecord,6,FALSE ),0)</f>
        <v>0</v>
      </c>
      <c r="X148" s="127">
        <f>IFERROR(VLOOKUP('Tab Summary'!O147,TeamRecord,6,FALSE ),0)</f>
        <v>0</v>
      </c>
      <c r="Y148" s="171">
        <f>IF(Y147&lt;&gt;0,(IF(COUNTIF('Ballot Entry'!$Z$3:$Z$35,'Tab Summary'!P149)=2,IF(P149=W147,IF(COUNTIF(D148:F148,"W")&gt;COUNTIF(D148:F148,"L"),1,0),0)+IF(P149=X147,IF(COUNTIF(G148:I148,"W")&gt;COUNTIF(G148:I148,"L"),1,0),0)+IF(P149=W148,IF(COUNTIF(J148:L148,"W")&gt;COUNTIF(J148:L148,"L"),1,0),0)+IF(P149=X148,IF(COUNTIF(M148:O148,"W")&gt;COUNTIF(M148:O148,"L"),1,0),0),0)),0)</f>
        <v>0</v>
      </c>
      <c r="Z148" s="171" t="str">
        <f>IF(Teams&gt;45,"Show", "Hide")</f>
        <v>Hide</v>
      </c>
      <c r="AA148" s="158"/>
      <c r="AB148" s="158"/>
      <c r="AC148" s="159"/>
      <c r="AD148" s="159"/>
      <c r="AE148" s="158"/>
      <c r="AF148" s="158"/>
      <c r="AG148" s="159"/>
      <c r="AH148" s="159"/>
      <c r="AI148" s="159"/>
      <c r="AJ148" s="159"/>
      <c r="AK148" s="159"/>
      <c r="AL148" s="159"/>
      <c r="AM148" s="159"/>
      <c r="AN148" s="159"/>
      <c r="AO148" s="159"/>
      <c r="AP148" s="159"/>
      <c r="AQ148" s="159"/>
    </row>
    <row r="149" spans="1:43" s="151" customFormat="1" ht="13.5" hidden="1" customHeight="1" thickBot="1" x14ac:dyDescent="0.3">
      <c r="A149" s="427"/>
      <c r="B149" s="428"/>
      <c r="C149" s="429"/>
      <c r="D149" s="200" t="str">
        <f>IFERROR(IF(D147="Π",VLOOKUP($A147, Round1P,3,FALSE),VLOOKUP($A147,Round1D,3,FALSE)),"")</f>
        <v/>
      </c>
      <c r="E149" s="201" t="str">
        <f>IFERROR(IF(Ballots=3,IF(D147="Π",VLOOKUP($A147, Round1P,5,FALSE),VLOOKUP($A147,Round1D,5,FALSE)),""),"")</f>
        <v/>
      </c>
      <c r="F149" s="202" t="str">
        <f>IFERROR(IF(D147="Π",VLOOKUP($A147, Round1P,4,FALSE),VLOOKUP($A147,Round1D,4,FALSE)),"")</f>
        <v/>
      </c>
      <c r="G149" s="200" t="str">
        <f>IFERROR(IF(G147="Π",VLOOKUP($A147, Round2P,3,FALSE),VLOOKUP($A147,Round2D,3,FALSE)),"")</f>
        <v/>
      </c>
      <c r="H149" s="201" t="str">
        <f>IFERROR(IF(Ballots=3,IF(G147="Π",VLOOKUP($A147, Round2P,5,FALSE),VLOOKUP($A147,Round2D,5,FALSE)),""),"")</f>
        <v/>
      </c>
      <c r="I149" s="202" t="str">
        <f>IFERROR(IF(G147="Π",VLOOKUP($A147, Round2P,4,FALSE),VLOOKUP($A147,Round2D,4,FALSE)),"")</f>
        <v/>
      </c>
      <c r="J149" s="200" t="str">
        <f>IFERROR(IF(J147="Π",VLOOKUP($A147, Round3P,3,FALSE),VLOOKUP($A147,Round3D,3,FALSE)),"")</f>
        <v/>
      </c>
      <c r="K149" s="201" t="str">
        <f>IFERROR(IF(Ballots=3,IF(J147="Π",VLOOKUP($A147, Round3P,5,FALSE),VLOOKUP($A147,Round3D,5,FALSE)),""),"")</f>
        <v/>
      </c>
      <c r="L149" s="202" t="str">
        <f>IFERROR(IF(J147="Π",VLOOKUP($A147, Round3P,4,FALSE),VLOOKUP($A147,Round3D,4,FALSE)),"")</f>
        <v/>
      </c>
      <c r="M149" s="200" t="str">
        <f>IFERROR(IF(M147="Π",VLOOKUP($A147, Round4P,3,FALSE),VLOOKUP($A147,Round4D,3,FALSE)),"")</f>
        <v/>
      </c>
      <c r="N149" s="201" t="str">
        <f>IFERROR(IF(Ballots=3,IF(M147="Π",VLOOKUP($A147, Round4P,5,FALSE),VLOOKUP($A147,Round4D,5,FALSE)),""),"")</f>
        <v/>
      </c>
      <c r="O149" s="202" t="str">
        <f>IFERROR(IF(M147="Π",VLOOKUP($A147, Round4P,4,FALSE),VLOOKUP($A147,Round4D,4,FALSE)),"")</f>
        <v/>
      </c>
      <c r="P149" s="203">
        <f>'Tab Summary'!U147+'Tab Summary'!V147+'Tab Summary'!U148+'Tab Summary'!V148</f>
        <v>0</v>
      </c>
      <c r="Q149" s="204"/>
      <c r="R149" s="205">
        <f>SUM('Tab Summary'!W147:X148)</f>
        <v>0</v>
      </c>
      <c r="S149" s="206"/>
      <c r="T149" s="207">
        <f>SUM(D149:O149)</f>
        <v>0</v>
      </c>
      <c r="U149" s="130" t="s">
        <v>67</v>
      </c>
      <c r="V149" s="131">
        <f>IF(D147="Π",COUNTIF(D148:F148,"W"),0)+IF(G147="Π",COUNTIF(G148:I148,"W"),0)+IF(J147="Π",COUNTIF(J148:L148,"W"),0)+IF(M147="Π",COUNTIF(M148:O148,"W"),0)</f>
        <v>0</v>
      </c>
      <c r="W149" s="132" t="s">
        <v>68</v>
      </c>
      <c r="X149" s="130">
        <f>IF(D147="Δ",COUNTIF(D148:F148,"W"),0)+IF(G147="Δ",COUNTIF(G148:I148,"W"),0)+IF(J147="Δ",COUNTIF(J148:L148,"W"),0)+IF(M147="Δ",COUNTIF(M148:O148,"W"),0)</f>
        <v>0</v>
      </c>
      <c r="Y149" s="171"/>
      <c r="Z149" s="171" t="str">
        <f>IF(Teams&gt;45,"Show", "Hide")</f>
        <v>Hide</v>
      </c>
      <c r="AA149" s="158"/>
      <c r="AB149" s="158"/>
      <c r="AC149" s="159"/>
      <c r="AD149" s="159"/>
      <c r="AE149" s="158"/>
      <c r="AF149" s="158"/>
      <c r="AG149" s="159"/>
      <c r="AH149" s="159"/>
      <c r="AI149" s="159"/>
      <c r="AJ149" s="159"/>
      <c r="AK149" s="159"/>
      <c r="AL149" s="159"/>
      <c r="AM149" s="159"/>
      <c r="AN149" s="159"/>
      <c r="AO149" s="159"/>
      <c r="AP149" s="159"/>
      <c r="AQ149" s="159"/>
    </row>
    <row r="150" spans="1:43" s="151" customFormat="1" ht="13.5" hidden="1" customHeight="1" x14ac:dyDescent="0.2">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71"/>
      <c r="Z150" s="259"/>
      <c r="AA150" s="158"/>
      <c r="AB150" s="158"/>
      <c r="AC150" s="159"/>
      <c r="AD150" s="159"/>
      <c r="AE150" s="158"/>
      <c r="AF150" s="158"/>
      <c r="AG150" s="159"/>
      <c r="AH150" s="159"/>
      <c r="AI150" s="159"/>
      <c r="AJ150" s="159"/>
      <c r="AK150" s="159"/>
      <c r="AL150" s="159"/>
      <c r="AM150" s="159"/>
      <c r="AN150" s="159"/>
      <c r="AO150" s="159"/>
      <c r="AP150" s="159"/>
      <c r="AQ150" s="159"/>
    </row>
    <row r="151" spans="1:43" s="151" customFormat="1" hidden="1" x14ac:dyDescent="0.2">
      <c r="P151" s="152"/>
      <c r="Q151" s="154"/>
      <c r="R151" s="154"/>
      <c r="S151" s="154"/>
      <c r="T151" s="154"/>
      <c r="U151" s="155"/>
      <c r="V151" s="155"/>
      <c r="W151" s="155"/>
      <c r="X151" s="155"/>
      <c r="Y151" s="171"/>
      <c r="Z151" s="171" t="str">
        <f>IF(Teams&gt;46,"Show", "Hide")</f>
        <v>Hide</v>
      </c>
      <c r="AA151" s="158"/>
      <c r="AB151" s="158"/>
      <c r="AC151" s="159"/>
      <c r="AD151" s="159"/>
      <c r="AE151" s="158"/>
      <c r="AF151" s="158"/>
      <c r="AG151" s="159"/>
      <c r="AH151" s="159"/>
      <c r="AI151" s="159"/>
      <c r="AJ151" s="159"/>
      <c r="AK151" s="159"/>
      <c r="AL151" s="159"/>
      <c r="AM151" s="159"/>
      <c r="AN151" s="159"/>
      <c r="AO151" s="159"/>
      <c r="AP151" s="159"/>
      <c r="AQ151" s="159"/>
    </row>
    <row r="152" spans="1:43" s="151" customFormat="1" ht="13.5" hidden="1" thickBot="1" x14ac:dyDescent="0.25">
      <c r="A152" s="444" t="s">
        <v>24</v>
      </c>
      <c r="B152" s="445"/>
      <c r="C152" s="446"/>
      <c r="D152" s="417" t="s">
        <v>25</v>
      </c>
      <c r="E152" s="418"/>
      <c r="F152" s="419"/>
      <c r="G152" s="417" t="s">
        <v>26</v>
      </c>
      <c r="H152" s="418"/>
      <c r="I152" s="419"/>
      <c r="J152" s="417" t="s">
        <v>27</v>
      </c>
      <c r="K152" s="418"/>
      <c r="L152" s="419"/>
      <c r="M152" s="417" t="s">
        <v>28</v>
      </c>
      <c r="N152" s="418"/>
      <c r="O152" s="419"/>
      <c r="P152" s="417" t="s">
        <v>64</v>
      </c>
      <c r="Q152" s="418"/>
      <c r="R152" s="418"/>
      <c r="S152" s="418"/>
      <c r="T152" s="419"/>
      <c r="U152" s="133"/>
      <c r="V152" s="134"/>
      <c r="W152" s="133"/>
      <c r="X152" s="134"/>
      <c r="Y152" s="171"/>
      <c r="Z152" s="171" t="str">
        <f>IF(Teams&gt;46,"Show", "Hide")</f>
        <v>Hide</v>
      </c>
      <c r="AA152" s="158"/>
      <c r="AB152" s="158"/>
      <c r="AC152" s="159"/>
      <c r="AD152" s="159"/>
      <c r="AE152" s="158"/>
      <c r="AF152" s="158"/>
      <c r="AG152" s="159"/>
      <c r="AH152" s="159"/>
      <c r="AI152" s="159"/>
      <c r="AJ152" s="159"/>
      <c r="AK152" s="159"/>
      <c r="AL152" s="159"/>
      <c r="AM152" s="159"/>
      <c r="AN152" s="159"/>
      <c r="AO152" s="159"/>
      <c r="AP152" s="159"/>
      <c r="AQ152" s="159"/>
    </row>
    <row r="153" spans="1:43" s="151" customFormat="1" ht="13.5" hidden="1" customHeight="1" x14ac:dyDescent="0.25">
      <c r="A153" s="430">
        <f>'Tournament Info'!C61</f>
        <v>0</v>
      </c>
      <c r="B153" s="431"/>
      <c r="C153" s="432"/>
      <c r="D153" s="163" t="str">
        <f>IF(COUNTIF('Ballot Entry'!$M$3:$M$37,$A153)=1,"Π",IF(COUNTIF('Ballot Entry'!$N$3:$N$37,$A153)=1,"Δ",""))</f>
        <v/>
      </c>
      <c r="E153" s="164" t="s">
        <v>30</v>
      </c>
      <c r="F153" s="165" t="str">
        <f>IFERROR(IF(D153="Π",VLOOKUP($A153, Round1P,2,FALSE),VLOOKUP($A153,Round1D,2,FALSE)),"")</f>
        <v/>
      </c>
      <c r="G153" s="163" t="str">
        <f>IF(COUNTIF('Ballot Entry'!$M$109:$M$143,$A153)=1,"Π",IF(COUNTIF('Ballot Entry'!$N$109:$N$143,$A153)=1,"Δ",""))</f>
        <v/>
      </c>
      <c r="H153" s="164" t="s">
        <v>30</v>
      </c>
      <c r="I153" s="165" t="str">
        <f>IFERROR(IF(G153="Π",VLOOKUP($A153, Round2P,2,FALSE),VLOOKUP($A153,Round2D,2,FALSE)),"")</f>
        <v/>
      </c>
      <c r="J153" s="163" t="str">
        <f>IF(COUNTIF('Ballot Entry'!$M$215:$M$249,$A153)=1,"Π",IF(COUNTIF('Ballot Entry'!$N$215:$N$249,$A153)=1,"Δ",""))</f>
        <v/>
      </c>
      <c r="K153" s="164" t="s">
        <v>30</v>
      </c>
      <c r="L153" s="165" t="str">
        <f>IFERROR(IF(J153="Π",VLOOKUP($A153, Round3P,2,FALSE),VLOOKUP($A153,Round3D,2,FALSE)),"")</f>
        <v/>
      </c>
      <c r="M153" s="163" t="str">
        <f>IF(COUNTIF('Ballot Entry'!$M$321:$M$355,$A153)=1,"Π",IF(COUNTIF('Ballot Entry'!$N$321:$N$355,$A153)=1,"Δ",""))</f>
        <v/>
      </c>
      <c r="N153" s="164" t="s">
        <v>30</v>
      </c>
      <c r="O153" s="165" t="str">
        <f>IFERROR(IF(M153="Π",VLOOKUP($A153, Round4P,2,FALSE),VLOOKUP($A153,Round4D,2,FALSE)),"")</f>
        <v/>
      </c>
      <c r="P153" s="166">
        <f>COUNTIF(D154:O154,"W")</f>
        <v>0</v>
      </c>
      <c r="Q153" s="167" t="s">
        <v>34</v>
      </c>
      <c r="R153" s="168">
        <f>COUNTIF(D154:O154,"L")</f>
        <v>0</v>
      </c>
      <c r="S153" s="169" t="s">
        <v>34</v>
      </c>
      <c r="T153" s="170">
        <f>COUNTIF(D154:O154,"T")</f>
        <v>0</v>
      </c>
      <c r="U153" s="124">
        <f>IFERROR(VLOOKUP('Tab Summary'!F153,TeamRecord,4,FALSE ),0)</f>
        <v>0</v>
      </c>
      <c r="V153" s="125">
        <f>IFERROR(VLOOKUP('Tab Summary'!I153,TeamRecord,4,FALSE ),0)</f>
        <v>0</v>
      </c>
      <c r="W153" s="126">
        <f>IFERROR(VLOOKUP('Tab Summary'!F153,TeamRecord,6,FALSE ),0)</f>
        <v>0</v>
      </c>
      <c r="X153" s="124">
        <f>IFERROR(VLOOKUP('Tab Summary'!I153,TeamRecord,6,FALSE ),0)</f>
        <v>0</v>
      </c>
      <c r="Y153" s="171">
        <f>IF(COUNTIF('Ballot Entry'!$X$3:$X$221,(P153+(T153/2)))=2,IF((P153+(T153/2))=U153,IF(COUNTIF(D154:F154,"W")&gt;COUNTIF(D154:F154,"L"),F153,0),0)+IF((P153+(T153/2))=V153,IF(COUNTIF(G154:I154,"W")&gt;COUNTIF(G154:I154,"L"),I153,0),0)+IF((P153+(T153/2))=U154,IF(COUNTIF(J154:L154,"W")&gt;COUNTIF(J154:L154,"L"),L153,0),0)+IF((P153+(T153/2))=V154,IF(COUNTIF(M154:O154,"W")&gt;COUNTIF(M154:O154,"L"),O153,0),0),0)</f>
        <v>0</v>
      </c>
      <c r="Z153" s="259" t="str">
        <f>IF(Teams&gt;46,"Show", "Hide")</f>
        <v>Hide</v>
      </c>
      <c r="AA153" s="158"/>
      <c r="AB153" s="158"/>
      <c r="AC153" s="159"/>
      <c r="AD153" s="159"/>
      <c r="AE153" s="158"/>
      <c r="AF153" s="158"/>
      <c r="AG153" s="159"/>
      <c r="AH153" s="159"/>
      <c r="AI153" s="159"/>
      <c r="AJ153" s="159"/>
      <c r="AK153" s="159"/>
      <c r="AL153" s="159"/>
      <c r="AM153" s="159"/>
      <c r="AN153" s="159"/>
      <c r="AO153" s="159"/>
      <c r="AP153" s="159"/>
      <c r="AQ153" s="159"/>
    </row>
    <row r="154" spans="1:43" s="151" customFormat="1" ht="12.75" hidden="1" customHeight="1" x14ac:dyDescent="0.25">
      <c r="A154" s="442">
        <f>'Tournament Info'!B61</f>
        <v>0</v>
      </c>
      <c r="B154" s="434"/>
      <c r="C154" s="435"/>
      <c r="D154" s="172" t="str">
        <f t="shared" ref="D154:O154" si="46">IF(D155="","",IF(D155&gt;0,"W",IF(D155&lt;0,"L",IF(D155=0,"T"))))</f>
        <v/>
      </c>
      <c r="E154" s="173" t="str">
        <f t="shared" si="46"/>
        <v/>
      </c>
      <c r="F154" s="174" t="str">
        <f t="shared" si="46"/>
        <v/>
      </c>
      <c r="G154" s="172" t="str">
        <f t="shared" si="46"/>
        <v/>
      </c>
      <c r="H154" s="173" t="str">
        <f t="shared" si="46"/>
        <v/>
      </c>
      <c r="I154" s="174" t="str">
        <f t="shared" si="46"/>
        <v/>
      </c>
      <c r="J154" s="172" t="str">
        <f t="shared" si="46"/>
        <v/>
      </c>
      <c r="K154" s="173" t="str">
        <f t="shared" si="46"/>
        <v/>
      </c>
      <c r="L154" s="174" t="str">
        <f t="shared" si="46"/>
        <v/>
      </c>
      <c r="M154" s="172" t="str">
        <f t="shared" si="46"/>
        <v/>
      </c>
      <c r="N154" s="173" t="str">
        <f t="shared" si="46"/>
        <v/>
      </c>
      <c r="O154" s="174" t="str">
        <f t="shared" si="46"/>
        <v/>
      </c>
      <c r="P154" s="175" t="s">
        <v>35</v>
      </c>
      <c r="Q154" s="176"/>
      <c r="R154" s="176" t="s">
        <v>36</v>
      </c>
      <c r="S154" s="176"/>
      <c r="T154" s="177" t="s">
        <v>31</v>
      </c>
      <c r="U154" s="127">
        <f>IFERROR(VLOOKUP('Tab Summary'!L153,TeamRecord,4,FALSE ),0)</f>
        <v>0</v>
      </c>
      <c r="V154" s="128">
        <f>IFERROR(VLOOKUP('Tab Summary'!O153,TeamRecord,4,FALSE ),0)</f>
        <v>0</v>
      </c>
      <c r="W154" s="129">
        <f>IFERROR(VLOOKUP('Tab Summary'!L153,TeamRecord,6,FALSE ),0)</f>
        <v>0</v>
      </c>
      <c r="X154" s="127">
        <f>IFERROR(VLOOKUP('Tab Summary'!O153,TeamRecord,6,FALSE ),0)</f>
        <v>0</v>
      </c>
      <c r="Y154" s="171">
        <f>IF(Y153&lt;&gt;0,(IF(COUNTIF('Ballot Entry'!$Z$3:$Z$35,'Tab Summary'!P155)=2,IF(P155=W153,IF(COUNTIF(D154:F154,"W")&gt;COUNTIF(D154:F154,"L"),1,0),0)+IF(P155=X153,IF(COUNTIF(G154:I154,"W")&gt;COUNTIF(G154:I154,"L"),1,0),0)+IF(P155=W154,IF(COUNTIF(J154:L154,"W")&gt;COUNTIF(J154:L154,"L"),1,0),0)+IF(P155=X154,IF(COUNTIF(M154:O154,"W")&gt;COUNTIF(M154:O154,"L"),1,0),0),0)),0)</f>
        <v>0</v>
      </c>
      <c r="Z154" s="259" t="str">
        <f>IF(Teams&gt;46,"Show", "Hide")</f>
        <v>Hide</v>
      </c>
      <c r="AA154" s="158"/>
      <c r="AB154" s="158"/>
      <c r="AC154" s="159"/>
      <c r="AD154" s="159"/>
      <c r="AE154" s="158"/>
      <c r="AF154" s="158"/>
      <c r="AG154" s="159"/>
      <c r="AH154" s="159"/>
      <c r="AI154" s="159"/>
      <c r="AJ154" s="159"/>
      <c r="AK154" s="159"/>
      <c r="AL154" s="159"/>
      <c r="AM154" s="159"/>
      <c r="AN154" s="159"/>
      <c r="AO154" s="159"/>
      <c r="AP154" s="159"/>
      <c r="AQ154" s="159"/>
    </row>
    <row r="155" spans="1:43" s="151" customFormat="1" ht="13.5" hidden="1" customHeight="1" thickBot="1" x14ac:dyDescent="0.3">
      <c r="A155" s="436"/>
      <c r="B155" s="437"/>
      <c r="C155" s="438"/>
      <c r="D155" s="178" t="str">
        <f>IFERROR(IF(D153="Π",VLOOKUP($A153, Round1P,3,FALSE),VLOOKUP($A153,Round1D,3,FALSE)),"")</f>
        <v/>
      </c>
      <c r="E155" s="179" t="str">
        <f>IFERROR(IF(Ballots=3,IF(D153="Π",VLOOKUP($A153, Round1P,5,FALSE),VLOOKUP($A153,Round1D,5,FALSE)),""),"")</f>
        <v/>
      </c>
      <c r="F155" s="180" t="str">
        <f>IFERROR(IF(D153="Π",VLOOKUP($A153, Round1P,4,FALSE),VLOOKUP($A153,Round1D,4,FALSE)),"")</f>
        <v/>
      </c>
      <c r="G155" s="178" t="str">
        <f>IFERROR(IF(G153="Π",VLOOKUP($A153, Round2P,3,FALSE),VLOOKUP($A153,Round2D,3,FALSE)),"")</f>
        <v/>
      </c>
      <c r="H155" s="179" t="str">
        <f>IFERROR(IF(Ballots=3,IF(G153="Π",VLOOKUP($A153, Round2P,5,FALSE),VLOOKUP($A153,Round2D,5,FALSE)),""),"")</f>
        <v/>
      </c>
      <c r="I155" s="180" t="str">
        <f>IFERROR(IF(G153="Π",VLOOKUP($A153, Round2P,4,FALSE),VLOOKUP($A153,Round2D,4,FALSE)),"")</f>
        <v/>
      </c>
      <c r="J155" s="178" t="str">
        <f>IFERROR(IF(J153="Π",VLOOKUP($A153, Round3P,3,FALSE),VLOOKUP($A153,Round3D,3,FALSE)),"")</f>
        <v/>
      </c>
      <c r="K155" s="179" t="str">
        <f>IFERROR(IF(Ballots=3,IF(J153="Π",VLOOKUP($A153, Round3P,5,FALSE),VLOOKUP($A153,Round3D,5,FALSE)),""),"")</f>
        <v/>
      </c>
      <c r="L155" s="180" t="str">
        <f>IFERROR(IF(J153="Π",VLOOKUP($A153, Round3P,4,FALSE),VLOOKUP($A153,Round3D,4,FALSE)),"")</f>
        <v/>
      </c>
      <c r="M155" s="178" t="str">
        <f>IFERROR(IF(M153="Π",VLOOKUP($A153, Round4P,3,FALSE),VLOOKUP($A153,Round4D,3,FALSE)),"")</f>
        <v/>
      </c>
      <c r="N155" s="179" t="str">
        <f>IFERROR(IF(Ballots=3,IF(M153="Π",VLOOKUP($A153, Round4P,5,FALSE),VLOOKUP($A153,Round4D,5,FALSE)),""),"")</f>
        <v/>
      </c>
      <c r="O155" s="180" t="str">
        <f>IFERROR(IF(M153="Π",VLOOKUP($A153, Round4P,4,FALSE),VLOOKUP($A153,Round4D,4,FALSE)),"")</f>
        <v/>
      </c>
      <c r="P155" s="181">
        <f>'Tab Summary'!U153+'Tab Summary'!V153+'Tab Summary'!U154+'Tab Summary'!V154</f>
        <v>0</v>
      </c>
      <c r="Q155" s="182"/>
      <c r="R155" s="183">
        <f>SUM('Tab Summary'!W153:X154)</f>
        <v>0</v>
      </c>
      <c r="S155" s="184"/>
      <c r="T155" s="185">
        <f>SUM(D155:O155)</f>
        <v>0</v>
      </c>
      <c r="U155" s="130" t="s">
        <v>67</v>
      </c>
      <c r="V155" s="131">
        <f>IF(D153="Π",COUNTIF(D154:F154,"W"),0)+IF(G153="Π",COUNTIF(G154:I154,"W"),0)+IF(J153="Π",COUNTIF(J154:L154,"W"),0)+IF(M153="Π",COUNTIF(M154:O154,"W"),0)</f>
        <v>0</v>
      </c>
      <c r="W155" s="132" t="s">
        <v>68</v>
      </c>
      <c r="X155" s="130">
        <f>IF(D153="Δ",COUNTIF(D154:F154,"W"),0)+IF(G153="Δ",COUNTIF(G154:I154,"W"),0)+IF(J153="Δ",COUNTIF(J154:L154,"W"),0)+IF(M153="Δ",COUNTIF(M154:O154,"W"),0)</f>
        <v>0</v>
      </c>
      <c r="Y155" s="171"/>
      <c r="Z155" s="259" t="str">
        <f>IF(Teams&gt;46,"Show", "Hide")</f>
        <v>Hide</v>
      </c>
      <c r="AA155" s="158"/>
      <c r="AB155" s="158"/>
      <c r="AC155" s="159"/>
      <c r="AD155" s="159"/>
      <c r="AE155" s="158"/>
      <c r="AF155" s="158"/>
      <c r="AG155" s="159"/>
      <c r="AH155" s="159"/>
      <c r="AI155" s="159"/>
      <c r="AJ155" s="159"/>
      <c r="AK155" s="159"/>
      <c r="AL155" s="159"/>
      <c r="AM155" s="159"/>
      <c r="AN155" s="159"/>
      <c r="AO155" s="159"/>
      <c r="AP155" s="159"/>
      <c r="AQ155" s="159"/>
    </row>
    <row r="156" spans="1:43" s="151" customFormat="1" ht="13.5" hidden="1" customHeight="1" x14ac:dyDescent="0.25">
      <c r="A156" s="439">
        <f>'Tournament Info'!C62</f>
        <v>0</v>
      </c>
      <c r="B156" s="440"/>
      <c r="C156" s="441"/>
      <c r="D156" s="186" t="str">
        <f>IF(COUNTIF('Ballot Entry'!$M$3:$M$37,$A156)=1,"Π",IF(COUNTIF('Ballot Entry'!$N$3:$N$37,$A156)=1,"Δ",""))</f>
        <v/>
      </c>
      <c r="E156" s="187" t="s">
        <v>30</v>
      </c>
      <c r="F156" s="188" t="str">
        <f>IFERROR(IF(D156="Π",VLOOKUP($A156, Round1P,2,FALSE),VLOOKUP($A156,Round1D,2,FALSE)),"")</f>
        <v/>
      </c>
      <c r="G156" s="186" t="str">
        <f>IF(COUNTIF('Ballot Entry'!$M$109:$M$143,$A156)=1,"Π",IF(COUNTIF('Ballot Entry'!$N$109:$N$143,$A156)=1,"Δ",""))</f>
        <v/>
      </c>
      <c r="H156" s="187" t="s">
        <v>30</v>
      </c>
      <c r="I156" s="188" t="str">
        <f>IFERROR(IF(G156="Π",VLOOKUP($A156, Round2P,2,FALSE),VLOOKUP($A156,Round2D,2,FALSE)),"")</f>
        <v/>
      </c>
      <c r="J156" s="186" t="str">
        <f>IF(COUNTIF('Ballot Entry'!$M$215:$M$249,$A156)=1,"Π",IF(COUNTIF('Ballot Entry'!$N$215:$N$249,$A156)=1,"Δ",""))</f>
        <v/>
      </c>
      <c r="K156" s="187" t="s">
        <v>30</v>
      </c>
      <c r="L156" s="188" t="str">
        <f>IFERROR(IF(J156="Π",VLOOKUP($A156, Round3P,2,FALSE),VLOOKUP($A156,Round3D,2,FALSE)),"")</f>
        <v/>
      </c>
      <c r="M156" s="186" t="str">
        <f>IF(COUNTIF('Ballot Entry'!$M$321:$M$355,$A156)=1,"Π",IF(COUNTIF('Ballot Entry'!$N$321:$N$355,$A156)=1,"Δ",""))</f>
        <v/>
      </c>
      <c r="N156" s="187" t="s">
        <v>30</v>
      </c>
      <c r="O156" s="188" t="str">
        <f>IFERROR(IF(M156="Π",VLOOKUP($A156, Round4P,2,FALSE),VLOOKUP($A156,Round4D,2,FALSE)),"")</f>
        <v/>
      </c>
      <c r="P156" s="189">
        <f>COUNTIF(D157:O157,"W")</f>
        <v>0</v>
      </c>
      <c r="Q156" s="190" t="s">
        <v>34</v>
      </c>
      <c r="R156" s="191">
        <f>COUNTIF(D157:O157,"L")</f>
        <v>0</v>
      </c>
      <c r="S156" s="192" t="s">
        <v>34</v>
      </c>
      <c r="T156" s="193">
        <f>COUNTIF(D157:O157,"T")</f>
        <v>0</v>
      </c>
      <c r="U156" s="124">
        <f>IFERROR(VLOOKUP('Tab Summary'!F156,TeamRecord,4,FALSE ),0)</f>
        <v>0</v>
      </c>
      <c r="V156" s="125">
        <f>IFERROR(VLOOKUP('Tab Summary'!I156,TeamRecord,4,FALSE ),0)</f>
        <v>0</v>
      </c>
      <c r="W156" s="126">
        <f>IFERROR(VLOOKUP('Tab Summary'!F156,TeamRecord,6,FALSE ),0)</f>
        <v>0</v>
      </c>
      <c r="X156" s="124">
        <f>IFERROR(VLOOKUP('Tab Summary'!I156,TeamRecord,6,FALSE ),0)</f>
        <v>0</v>
      </c>
      <c r="Y156" s="171">
        <f>IF(COUNTIF('Ballot Entry'!$X$3:$X$221,(P156+(T156/2)))=2,IF((P156+(T156/2))=U156,IF(COUNTIF(D157:F157,"W")&gt;COUNTIF(D157:F157,"L"),F156,0),0)+IF((P156+(T156/2))=V156,IF(COUNTIF(G157:I157,"W")&gt;COUNTIF(G157:I157,"L"),I156,0),0)+IF((P156+(T156/2))=U157,IF(COUNTIF(J157:L157,"W")&gt;COUNTIF(J157:L157,"L"),L156,0),0)+IF((P156+(T156/2))=V157,IF(COUNTIF(M157:O157,"W")&gt;COUNTIF(M157:O157,"L"),O156,0),0),0)</f>
        <v>0</v>
      </c>
      <c r="Z156" s="171" t="str">
        <f>IF(Teams&gt;47,"Show", "Hide")</f>
        <v>Hide</v>
      </c>
      <c r="AA156" s="158"/>
      <c r="AB156" s="158"/>
      <c r="AC156" s="159"/>
      <c r="AD156" s="159"/>
      <c r="AE156" s="158"/>
      <c r="AF156" s="158"/>
      <c r="AG156" s="159"/>
      <c r="AH156" s="159"/>
      <c r="AI156" s="159"/>
      <c r="AJ156" s="159"/>
      <c r="AK156" s="159"/>
      <c r="AL156" s="159"/>
      <c r="AM156" s="159"/>
      <c r="AN156" s="159"/>
      <c r="AO156" s="159"/>
      <c r="AP156" s="159"/>
      <c r="AQ156" s="159"/>
    </row>
    <row r="157" spans="1:43" s="151" customFormat="1" ht="12.75" hidden="1" customHeight="1" x14ac:dyDescent="0.25">
      <c r="A157" s="443">
        <f>'Tournament Info'!B62</f>
        <v>0</v>
      </c>
      <c r="B157" s="425"/>
      <c r="C157" s="426"/>
      <c r="D157" s="194" t="str">
        <f t="shared" ref="D157:O157" si="47">IF(D158="","",IF(D158&gt;0,"W",IF(D158&lt;0,"L",IF(D158=0,"T"))))</f>
        <v/>
      </c>
      <c r="E157" s="195" t="str">
        <f t="shared" si="47"/>
        <v/>
      </c>
      <c r="F157" s="196" t="str">
        <f t="shared" si="47"/>
        <v/>
      </c>
      <c r="G157" s="194" t="str">
        <f t="shared" si="47"/>
        <v/>
      </c>
      <c r="H157" s="195" t="str">
        <f t="shared" si="47"/>
        <v/>
      </c>
      <c r="I157" s="196" t="str">
        <f t="shared" si="47"/>
        <v/>
      </c>
      <c r="J157" s="194" t="str">
        <f t="shared" si="47"/>
        <v/>
      </c>
      <c r="K157" s="195" t="str">
        <f t="shared" si="47"/>
        <v/>
      </c>
      <c r="L157" s="196" t="str">
        <f t="shared" si="47"/>
        <v/>
      </c>
      <c r="M157" s="194" t="str">
        <f t="shared" si="47"/>
        <v/>
      </c>
      <c r="N157" s="195" t="str">
        <f t="shared" si="47"/>
        <v/>
      </c>
      <c r="O157" s="196" t="str">
        <f t="shared" si="47"/>
        <v/>
      </c>
      <c r="P157" s="197" t="s">
        <v>35</v>
      </c>
      <c r="Q157" s="198"/>
      <c r="R157" s="198" t="s">
        <v>36</v>
      </c>
      <c r="S157" s="198"/>
      <c r="T157" s="199" t="s">
        <v>31</v>
      </c>
      <c r="U157" s="127">
        <f>IFERROR(VLOOKUP('Tab Summary'!L156,TeamRecord,4,FALSE ),0)</f>
        <v>0</v>
      </c>
      <c r="V157" s="128">
        <f>IFERROR(VLOOKUP('Tab Summary'!O156,TeamRecord,4,FALSE ),0)</f>
        <v>0</v>
      </c>
      <c r="W157" s="129">
        <f>IFERROR(VLOOKUP('Tab Summary'!L156,TeamRecord,6,FALSE ),0)</f>
        <v>0</v>
      </c>
      <c r="X157" s="127">
        <f>IFERROR(VLOOKUP('Tab Summary'!O156,TeamRecord,6,FALSE ),0)</f>
        <v>0</v>
      </c>
      <c r="Y157" s="171">
        <f>IF(Y156&lt;&gt;0,(IF(COUNTIF('Ballot Entry'!$Z$3:$Z$35,'Tab Summary'!P158)=2,IF(P158=W156,IF(COUNTIF(D157:F157,"W")&gt;COUNTIF(D157:F157,"L"),1,0),0)+IF(P158=X156,IF(COUNTIF(G157:I157,"W")&gt;COUNTIF(G157:I157,"L"),1,0),0)+IF(P158=W157,IF(COUNTIF(J157:L157,"W")&gt;COUNTIF(J157:L157,"L"),1,0),0)+IF(P158=X157,IF(COUNTIF(M157:O157,"W")&gt;COUNTIF(M157:O157,"L"),1,0),0),0)),0)</f>
        <v>0</v>
      </c>
      <c r="Z157" s="171" t="str">
        <f>IF(Teams&gt;47,"Show", "Hide")</f>
        <v>Hide</v>
      </c>
      <c r="AA157" s="158"/>
      <c r="AB157" s="158"/>
      <c r="AC157" s="159"/>
      <c r="AD157" s="159"/>
      <c r="AE157" s="158"/>
      <c r="AF157" s="158"/>
      <c r="AG157" s="159"/>
      <c r="AH157" s="159"/>
      <c r="AI157" s="159"/>
      <c r="AJ157" s="159"/>
      <c r="AK157" s="159"/>
      <c r="AL157" s="159"/>
      <c r="AM157" s="159"/>
      <c r="AN157" s="159"/>
      <c r="AO157" s="159"/>
      <c r="AP157" s="159"/>
      <c r="AQ157" s="159"/>
    </row>
    <row r="158" spans="1:43" s="151" customFormat="1" ht="13.5" hidden="1" customHeight="1" thickBot="1" x14ac:dyDescent="0.3">
      <c r="A158" s="427"/>
      <c r="B158" s="428"/>
      <c r="C158" s="429"/>
      <c r="D158" s="200" t="str">
        <f>IFERROR(IF(D156="Π",VLOOKUP($A156, Round1P,3,FALSE),VLOOKUP($A156,Round1D,3,FALSE)),"")</f>
        <v/>
      </c>
      <c r="E158" s="201" t="str">
        <f>IFERROR(IF(Ballots=3,IF(D156="Π",VLOOKUP($A156, Round1P,5,FALSE),VLOOKUP($A156,Round1D,5,FALSE)),""),"")</f>
        <v/>
      </c>
      <c r="F158" s="202" t="str">
        <f>IFERROR(IF(D156="Π",VLOOKUP($A156, Round1P,4,FALSE),VLOOKUP($A156,Round1D,4,FALSE)),"")</f>
        <v/>
      </c>
      <c r="G158" s="200" t="str">
        <f>IFERROR(IF(G156="Π",VLOOKUP($A156, Round2P,3,FALSE),VLOOKUP($A156,Round2D,3,FALSE)),"")</f>
        <v/>
      </c>
      <c r="H158" s="201" t="str">
        <f>IFERROR(IF(Ballots=3,IF(G156="Π",VLOOKUP($A156, Round2P,5,FALSE),VLOOKUP($A156,Round2D,5,FALSE)),""),"")</f>
        <v/>
      </c>
      <c r="I158" s="202" t="str">
        <f>IFERROR(IF(G156="Π",VLOOKUP($A156, Round2P,4,FALSE),VLOOKUP($A156,Round2D,4,FALSE)),"")</f>
        <v/>
      </c>
      <c r="J158" s="200" t="str">
        <f>IFERROR(IF(J156="Π",VLOOKUP($A156, Round3P,3,FALSE),VLOOKUP($A156,Round3D,3,FALSE)),"")</f>
        <v/>
      </c>
      <c r="K158" s="201" t="str">
        <f>IFERROR(IF(Ballots=3,IF(J156="Π",VLOOKUP($A156, Round3P,5,FALSE),VLOOKUP($A156,Round3D,5,FALSE)),""),"")</f>
        <v/>
      </c>
      <c r="L158" s="202" t="str">
        <f>IFERROR(IF(J156="Π",VLOOKUP($A156, Round3P,4,FALSE),VLOOKUP($A156,Round3D,4,FALSE)),"")</f>
        <v/>
      </c>
      <c r="M158" s="200" t="str">
        <f>IFERROR(IF(M156="Π",VLOOKUP($A156, Round4P,3,FALSE),VLOOKUP($A156,Round4D,3,FALSE)),"")</f>
        <v/>
      </c>
      <c r="N158" s="201" t="str">
        <f>IFERROR(IF(Ballots=3,IF(M156="Π",VLOOKUP($A156, Round4P,5,FALSE),VLOOKUP($A156,Round4D,5,FALSE)),""),"")</f>
        <v/>
      </c>
      <c r="O158" s="202" t="str">
        <f>IFERROR(IF(M156="Π",VLOOKUP($A156, Round4P,4,FALSE),VLOOKUP($A156,Round4D,4,FALSE)),"")</f>
        <v/>
      </c>
      <c r="P158" s="203">
        <f>'Tab Summary'!U156+'Tab Summary'!V156+'Tab Summary'!U157+'Tab Summary'!V157</f>
        <v>0</v>
      </c>
      <c r="Q158" s="204"/>
      <c r="R158" s="205">
        <f>SUM('Tab Summary'!W156:X157)</f>
        <v>0</v>
      </c>
      <c r="S158" s="206"/>
      <c r="T158" s="207">
        <f>SUM(D158:O158)</f>
        <v>0</v>
      </c>
      <c r="U158" s="130" t="s">
        <v>67</v>
      </c>
      <c r="V158" s="131">
        <f>IF(D156="Π",COUNTIF(D157:F157,"W"),0)+IF(G156="Π",COUNTIF(G157:I157,"W"),0)+IF(J156="Π",COUNTIF(J157:L157,"W"),0)+IF(M156="Π",COUNTIF(M157:O157,"W"),0)</f>
        <v>0</v>
      </c>
      <c r="W158" s="132" t="s">
        <v>68</v>
      </c>
      <c r="X158" s="130">
        <f>IF(D156="Δ",COUNTIF(D157:F157,"W"),0)+IF(G156="Δ",COUNTIF(G157:I157,"W"),0)+IF(J156="Δ",COUNTIF(J157:L157,"W"),0)+IF(M156="Δ",COUNTIF(M157:O157,"W"),0)</f>
        <v>0</v>
      </c>
      <c r="Y158" s="171"/>
      <c r="Z158" s="171" t="str">
        <f>IF(Teams&gt;47,"Show", "Hide")</f>
        <v>Hide</v>
      </c>
      <c r="AA158" s="158"/>
      <c r="AB158" s="158"/>
      <c r="AC158" s="159"/>
      <c r="AD158" s="159"/>
      <c r="AE158" s="158"/>
      <c r="AF158" s="158"/>
      <c r="AG158" s="159"/>
      <c r="AH158" s="159"/>
      <c r="AI158" s="159"/>
      <c r="AJ158" s="159"/>
      <c r="AK158" s="159"/>
      <c r="AL158" s="159"/>
      <c r="AM158" s="159"/>
      <c r="AN158" s="159"/>
      <c r="AO158" s="159"/>
      <c r="AP158" s="159"/>
      <c r="AQ158" s="159"/>
    </row>
    <row r="159" spans="1:43" s="151" customFormat="1" ht="13.5" hidden="1" customHeight="1" x14ac:dyDescent="0.25">
      <c r="A159" s="430">
        <f>'Tournament Info'!C63</f>
        <v>0</v>
      </c>
      <c r="B159" s="431"/>
      <c r="C159" s="432"/>
      <c r="D159" s="163" t="str">
        <f>IF(COUNTIF('Ballot Entry'!$M$3:$M$37,$A159)=1,"Π",IF(COUNTIF('Ballot Entry'!$N$3:$N$37,$A159)=1,"Δ",""))</f>
        <v/>
      </c>
      <c r="E159" s="164" t="s">
        <v>30</v>
      </c>
      <c r="F159" s="165" t="str">
        <f>IFERROR(IF(D159="Π",VLOOKUP($A159, Round1P,2,FALSE),VLOOKUP($A159,Round1D,2,FALSE)),"")</f>
        <v/>
      </c>
      <c r="G159" s="163" t="str">
        <f>IF(COUNTIF('Ballot Entry'!$M$109:$M$143,$A159)=1,"Π",IF(COUNTIF('Ballot Entry'!$N$109:$N$143,$A159)=1,"Δ",""))</f>
        <v/>
      </c>
      <c r="H159" s="164" t="s">
        <v>30</v>
      </c>
      <c r="I159" s="165" t="str">
        <f>IFERROR(IF(G159="Π",VLOOKUP($A159, Round2P,2,FALSE),VLOOKUP($A159,Round2D,2,FALSE)),"")</f>
        <v/>
      </c>
      <c r="J159" s="163" t="str">
        <f>IF(COUNTIF('Ballot Entry'!$M$215:$M$249,$A159)=1,"Π",IF(COUNTIF('Ballot Entry'!$N$215:$N$249,$A159)=1,"Δ",""))</f>
        <v/>
      </c>
      <c r="K159" s="164" t="s">
        <v>30</v>
      </c>
      <c r="L159" s="165" t="str">
        <f>IFERROR(IF(J159="Π",VLOOKUP($A159, Round3P,2,FALSE),VLOOKUP($A159,Round3D,2,FALSE)),"")</f>
        <v/>
      </c>
      <c r="M159" s="163" t="str">
        <f>IF(COUNTIF('Ballot Entry'!$M$321:$M$355,$A159)=1,"Π",IF(COUNTIF('Ballot Entry'!$N$321:$N$355,$A159)=1,"Δ",""))</f>
        <v/>
      </c>
      <c r="N159" s="164" t="s">
        <v>30</v>
      </c>
      <c r="O159" s="165" t="str">
        <f>IFERROR(IF(M159="Π",VLOOKUP($A159, Round4P,2,FALSE),VLOOKUP($A159,Round4D,2,FALSE)),"")</f>
        <v/>
      </c>
      <c r="P159" s="166">
        <f>COUNTIF(D160:O160,"W")</f>
        <v>0</v>
      </c>
      <c r="Q159" s="167" t="s">
        <v>34</v>
      </c>
      <c r="R159" s="168">
        <f>COUNTIF(D160:O160,"L")</f>
        <v>0</v>
      </c>
      <c r="S159" s="169" t="s">
        <v>34</v>
      </c>
      <c r="T159" s="170">
        <f>COUNTIF(D160:O160,"T")</f>
        <v>0</v>
      </c>
      <c r="U159" s="124">
        <f>IFERROR(VLOOKUP('Tab Summary'!F159,TeamRecord,4,FALSE ),0)</f>
        <v>0</v>
      </c>
      <c r="V159" s="125">
        <f>IFERROR(VLOOKUP('Tab Summary'!I159,TeamRecord,4,FALSE ),0)</f>
        <v>0</v>
      </c>
      <c r="W159" s="126">
        <f>IFERROR(VLOOKUP('Tab Summary'!F159,TeamRecord,6,FALSE ),0)</f>
        <v>0</v>
      </c>
      <c r="X159" s="124">
        <f>IFERROR(VLOOKUP('Tab Summary'!I159,TeamRecord,6,FALSE ),0)</f>
        <v>0</v>
      </c>
      <c r="Y159" s="171">
        <f>IF(COUNTIF('Ballot Entry'!$X$3:$X$221,(P159+(T159/2)))=2,IF((P159+(T159/2))=U159,IF(COUNTIF(D160:F160,"W")&gt;COUNTIF(D160:F160,"L"),F159,0),0)+IF((P159+(T159/2))=V159,IF(COUNTIF(G160:I160,"W")&gt;COUNTIF(G160:I160,"L"),I159,0),0)+IF((P159+(T159/2))=U160,IF(COUNTIF(J160:L160,"W")&gt;COUNTIF(J160:L160,"L"),L159,0),0)+IF((P159+(T159/2))=V160,IF(COUNTIF(M160:O160,"W")&gt;COUNTIF(M160:O160,"L"),O159,0),0),0)</f>
        <v>0</v>
      </c>
      <c r="Z159" s="171" t="str">
        <f>IF(Teams&gt;48,"Show", "Hide")</f>
        <v>Hide</v>
      </c>
      <c r="AA159" s="158"/>
      <c r="AB159" s="158"/>
      <c r="AC159" s="159"/>
      <c r="AD159" s="159"/>
      <c r="AE159" s="158"/>
      <c r="AF159" s="158"/>
      <c r="AG159" s="159"/>
      <c r="AH159" s="159"/>
      <c r="AI159" s="159"/>
      <c r="AJ159" s="159"/>
      <c r="AK159" s="159"/>
      <c r="AL159" s="159"/>
      <c r="AM159" s="159"/>
      <c r="AN159" s="159"/>
      <c r="AO159" s="159"/>
      <c r="AP159" s="159"/>
      <c r="AQ159" s="159"/>
    </row>
    <row r="160" spans="1:43" s="151" customFormat="1" ht="12.75" hidden="1" customHeight="1" x14ac:dyDescent="0.25">
      <c r="A160" s="442">
        <f>'Tournament Info'!B63</f>
        <v>0</v>
      </c>
      <c r="B160" s="434"/>
      <c r="C160" s="435"/>
      <c r="D160" s="172" t="str">
        <f t="shared" ref="D160:O160" si="48">IF(D161="","",IF(D161&gt;0,"W",IF(D161&lt;0,"L",IF(D161=0,"T"))))</f>
        <v/>
      </c>
      <c r="E160" s="173" t="str">
        <f t="shared" si="48"/>
        <v/>
      </c>
      <c r="F160" s="174" t="str">
        <f t="shared" si="48"/>
        <v/>
      </c>
      <c r="G160" s="172" t="str">
        <f t="shared" si="48"/>
        <v/>
      </c>
      <c r="H160" s="173" t="str">
        <f t="shared" si="48"/>
        <v/>
      </c>
      <c r="I160" s="174" t="str">
        <f t="shared" si="48"/>
        <v/>
      </c>
      <c r="J160" s="172" t="str">
        <f t="shared" si="48"/>
        <v/>
      </c>
      <c r="K160" s="173" t="str">
        <f t="shared" si="48"/>
        <v/>
      </c>
      <c r="L160" s="174" t="str">
        <f t="shared" si="48"/>
        <v/>
      </c>
      <c r="M160" s="172" t="str">
        <f t="shared" si="48"/>
        <v/>
      </c>
      <c r="N160" s="173" t="str">
        <f t="shared" si="48"/>
        <v/>
      </c>
      <c r="O160" s="174" t="str">
        <f t="shared" si="48"/>
        <v/>
      </c>
      <c r="P160" s="175" t="s">
        <v>35</v>
      </c>
      <c r="Q160" s="176"/>
      <c r="R160" s="176" t="s">
        <v>36</v>
      </c>
      <c r="S160" s="176"/>
      <c r="T160" s="177" t="s">
        <v>31</v>
      </c>
      <c r="U160" s="127">
        <f>IFERROR(VLOOKUP('Tab Summary'!L159,TeamRecord,4,FALSE ),0)</f>
        <v>0</v>
      </c>
      <c r="V160" s="128">
        <f>IFERROR(VLOOKUP('Tab Summary'!O159,TeamRecord,4,FALSE ),0)</f>
        <v>0</v>
      </c>
      <c r="W160" s="129">
        <f>IFERROR(VLOOKUP('Tab Summary'!L159,TeamRecord,6,FALSE ),0)</f>
        <v>0</v>
      </c>
      <c r="X160" s="127">
        <f>IFERROR(VLOOKUP('Tab Summary'!O159,TeamRecord,6,FALSE ),0)</f>
        <v>0</v>
      </c>
      <c r="Y160" s="171">
        <f>IF(Y159&lt;&gt;0,(IF(COUNTIF('Ballot Entry'!$Z$3:$Z$35,'Tab Summary'!P161)=2,IF(P161=W159,IF(COUNTIF(D160:F160,"W")&gt;COUNTIF(D160:F160,"L"),1,0),0)+IF(P161=X159,IF(COUNTIF(G160:I160,"W")&gt;COUNTIF(G160:I160,"L"),1,0),0)+IF(P161=W160,IF(COUNTIF(J160:L160,"W")&gt;COUNTIF(J160:L160,"L"),1,0),0)+IF(P161=X160,IF(COUNTIF(M160:O160,"W")&gt;COUNTIF(M160:O160,"L"),1,0),0),0)),0)</f>
        <v>0</v>
      </c>
      <c r="Z160" s="171" t="str">
        <f>IF(Teams&gt;48,"Show", "Hide")</f>
        <v>Hide</v>
      </c>
      <c r="AA160" s="158"/>
      <c r="AB160" s="158"/>
      <c r="AC160" s="159"/>
      <c r="AD160" s="159"/>
      <c r="AE160" s="158"/>
      <c r="AF160" s="158"/>
      <c r="AG160" s="159"/>
      <c r="AH160" s="159"/>
      <c r="AI160" s="159"/>
      <c r="AJ160" s="159"/>
      <c r="AK160" s="159"/>
      <c r="AL160" s="159"/>
      <c r="AM160" s="159"/>
      <c r="AN160" s="159"/>
      <c r="AO160" s="159"/>
      <c r="AP160" s="159"/>
      <c r="AQ160" s="159"/>
    </row>
    <row r="161" spans="1:43" s="151" customFormat="1" ht="13.5" hidden="1" customHeight="1" thickBot="1" x14ac:dyDescent="0.3">
      <c r="A161" s="436"/>
      <c r="B161" s="437"/>
      <c r="C161" s="438"/>
      <c r="D161" s="178" t="str">
        <f>IFERROR(IF(D159="Π",VLOOKUP($A159, Round1P,3,FALSE),VLOOKUP($A159,Round1D,3,FALSE)),"")</f>
        <v/>
      </c>
      <c r="E161" s="179" t="str">
        <f>IFERROR(IF(Ballots=3,IF(D159="Π",VLOOKUP($A159, Round1P,5,FALSE),VLOOKUP($A159,Round1D,5,FALSE)),""),"")</f>
        <v/>
      </c>
      <c r="F161" s="180" t="str">
        <f>IFERROR(IF(D159="Π",VLOOKUP($A159, Round1P,4,FALSE),VLOOKUP($A159,Round1D,4,FALSE)),"")</f>
        <v/>
      </c>
      <c r="G161" s="178" t="str">
        <f>IFERROR(IF(G159="Π",VLOOKUP($A159, Round2P,3,FALSE),VLOOKUP($A159,Round2D,3,FALSE)),"")</f>
        <v/>
      </c>
      <c r="H161" s="179" t="str">
        <f>IFERROR(IF(Ballots=3,IF(G159="Π",VLOOKUP($A159, Round2P,5,FALSE),VLOOKUP($A159,Round2D,5,FALSE)),""),"")</f>
        <v/>
      </c>
      <c r="I161" s="180" t="str">
        <f>IFERROR(IF(G159="Π",VLOOKUP($A159, Round2P,4,FALSE),VLOOKUP($A159,Round2D,4,FALSE)),"")</f>
        <v/>
      </c>
      <c r="J161" s="178" t="str">
        <f>IFERROR(IF(J159="Π",VLOOKUP($A159, Round3P,3,FALSE),VLOOKUP($A159,Round3D,3,FALSE)),"")</f>
        <v/>
      </c>
      <c r="K161" s="179" t="str">
        <f>IFERROR(IF(Ballots=3,IF(J159="Π",VLOOKUP($A159, Round3P,5,FALSE),VLOOKUP($A159,Round3D,5,FALSE)),""),"")</f>
        <v/>
      </c>
      <c r="L161" s="180" t="str">
        <f>IFERROR(IF(J159="Π",VLOOKUP($A159, Round3P,4,FALSE),VLOOKUP($A159,Round3D,4,FALSE)),"")</f>
        <v/>
      </c>
      <c r="M161" s="178" t="str">
        <f>IFERROR(IF(M159="Π",VLOOKUP($A159, Round4P,3,FALSE),VLOOKUP($A159,Round4D,3,FALSE)),"")</f>
        <v/>
      </c>
      <c r="N161" s="179" t="str">
        <f>IFERROR(IF(Ballots=3,IF(M159="Π",VLOOKUP($A159, Round4P,5,FALSE),VLOOKUP($A159,Round4D,5,FALSE)),""),"")</f>
        <v/>
      </c>
      <c r="O161" s="180" t="str">
        <f>IFERROR(IF(M159="Π",VLOOKUP($A159, Round4P,4,FALSE),VLOOKUP($A159,Round4D,4,FALSE)),"")</f>
        <v/>
      </c>
      <c r="P161" s="181">
        <f>'Tab Summary'!U159+'Tab Summary'!V159+'Tab Summary'!U160+'Tab Summary'!V160</f>
        <v>0</v>
      </c>
      <c r="Q161" s="182"/>
      <c r="R161" s="183">
        <f>SUM('Tab Summary'!W159:X160)</f>
        <v>0</v>
      </c>
      <c r="S161" s="184"/>
      <c r="T161" s="185">
        <f>SUM(D161:O161)</f>
        <v>0</v>
      </c>
      <c r="U161" s="130" t="s">
        <v>67</v>
      </c>
      <c r="V161" s="131">
        <f>IF(D159="Π",COUNTIF(D160:F160,"W"),0)+IF(G159="Π",COUNTIF(G160:I160,"W"),0)+IF(J159="Π",COUNTIF(J160:L160,"W"),0)+IF(M159="Π",COUNTIF(M160:O160,"W"),0)</f>
        <v>0</v>
      </c>
      <c r="W161" s="132" t="s">
        <v>68</v>
      </c>
      <c r="X161" s="130">
        <f>IF(D159="Δ",COUNTIF(D160:F160,"W"),0)+IF(G159="Δ",COUNTIF(G160:I160,"W"),0)+IF(J159="Δ",COUNTIF(J160:L160,"W"),0)+IF(M159="Δ",COUNTIF(M160:O160,"W"),0)</f>
        <v>0</v>
      </c>
      <c r="Y161" s="171"/>
      <c r="Z161" s="171" t="str">
        <f>IF(Teams&gt;48,"Show", "Hide")</f>
        <v>Hide</v>
      </c>
      <c r="AA161" s="158"/>
      <c r="AB161" s="158"/>
      <c r="AC161" s="159"/>
      <c r="AD161" s="159"/>
      <c r="AE161" s="158"/>
      <c r="AF161" s="158"/>
      <c r="AG161" s="159"/>
      <c r="AH161" s="159"/>
      <c r="AI161" s="159"/>
      <c r="AJ161" s="159"/>
      <c r="AK161" s="159"/>
      <c r="AL161" s="159"/>
      <c r="AM161" s="159"/>
      <c r="AN161" s="159"/>
      <c r="AO161" s="159"/>
      <c r="AP161" s="159"/>
      <c r="AQ161" s="159"/>
    </row>
    <row r="162" spans="1:43" s="151" customFormat="1" ht="13.5" hidden="1" customHeight="1" x14ac:dyDescent="0.25">
      <c r="A162" s="439">
        <f>'Tournament Info'!C64</f>
        <v>0</v>
      </c>
      <c r="B162" s="440"/>
      <c r="C162" s="441"/>
      <c r="D162" s="186" t="str">
        <f>IF(COUNTIF('Ballot Entry'!$M$3:$M$37,$A162)=1,"Π",IF(COUNTIF('Ballot Entry'!$N$3:$N$37,$A162)=1,"Δ",""))</f>
        <v/>
      </c>
      <c r="E162" s="187" t="s">
        <v>30</v>
      </c>
      <c r="F162" s="188" t="str">
        <f>IFERROR(IF(D162="Π",VLOOKUP($A162, Round1P,2,FALSE),VLOOKUP($A162,Round1D,2,FALSE)),"")</f>
        <v/>
      </c>
      <c r="G162" s="186" t="str">
        <f>IF(COUNTIF('Ballot Entry'!$M$109:$M$143,$A162)=1,"Π",IF(COUNTIF('Ballot Entry'!$N$109:$N$143,$A162)=1,"Δ",""))</f>
        <v/>
      </c>
      <c r="H162" s="187" t="s">
        <v>30</v>
      </c>
      <c r="I162" s="188" t="str">
        <f>IFERROR(IF(G162="Π",VLOOKUP($A162, Round2P,2,FALSE),VLOOKUP($A162,Round2D,2,FALSE)),"")</f>
        <v/>
      </c>
      <c r="J162" s="186" t="str">
        <f>IF(COUNTIF('Ballot Entry'!$M$215:$M$249,$A162)=1,"Π",IF(COUNTIF('Ballot Entry'!$N$215:$N$249,$A162)=1,"Δ",""))</f>
        <v/>
      </c>
      <c r="K162" s="187" t="s">
        <v>30</v>
      </c>
      <c r="L162" s="188" t="str">
        <f>IFERROR(IF(J162="Π",VLOOKUP($A162, Round3P,2,FALSE),VLOOKUP($A162,Round3D,2,FALSE)),"")</f>
        <v/>
      </c>
      <c r="M162" s="186" t="str">
        <f>IF(COUNTIF('Ballot Entry'!$M$321:$M$355,$A162)=1,"Π",IF(COUNTIF('Ballot Entry'!$N$321:$N$355,$A162)=1,"Δ",""))</f>
        <v/>
      </c>
      <c r="N162" s="187" t="s">
        <v>30</v>
      </c>
      <c r="O162" s="188" t="str">
        <f>IFERROR(IF(M162="Π",VLOOKUP($A162, Round4P,2,FALSE),VLOOKUP($A162,Round4D,2,FALSE)),"")</f>
        <v/>
      </c>
      <c r="P162" s="189">
        <f>COUNTIF(D163:O163,"W")</f>
        <v>0</v>
      </c>
      <c r="Q162" s="190" t="s">
        <v>34</v>
      </c>
      <c r="R162" s="191">
        <f>COUNTIF(D163:O163,"L")</f>
        <v>0</v>
      </c>
      <c r="S162" s="192" t="s">
        <v>34</v>
      </c>
      <c r="T162" s="193">
        <f>COUNTIF(D163:O163,"T")</f>
        <v>0</v>
      </c>
      <c r="U162" s="124">
        <f>IFERROR(VLOOKUP('Tab Summary'!F162,TeamRecord,4,FALSE ),0)</f>
        <v>0</v>
      </c>
      <c r="V162" s="125">
        <f>IFERROR(VLOOKUP('Tab Summary'!I162,TeamRecord,4,FALSE ),0)</f>
        <v>0</v>
      </c>
      <c r="W162" s="126">
        <f>IFERROR(VLOOKUP('Tab Summary'!F162,TeamRecord,6,FALSE ),0)</f>
        <v>0</v>
      </c>
      <c r="X162" s="124">
        <f>IFERROR(VLOOKUP('Tab Summary'!I162,TeamRecord,6,FALSE ),0)</f>
        <v>0</v>
      </c>
      <c r="Y162" s="171">
        <f>IF(COUNTIF('Ballot Entry'!$X$3:$X$221,(P162+(T162/2)))=2,IF((P162+(T162/2))=U162,IF(COUNTIF(D163:F163,"W")&gt;COUNTIF(D163:F163,"L"),F162,0),0)+IF((P162+(T162/2))=V162,IF(COUNTIF(G163:I163,"W")&gt;COUNTIF(G163:I163,"L"),I162,0),0)+IF((P162+(T162/2))=U163,IF(COUNTIF(J163:L163,"W")&gt;COUNTIF(J163:L163,"L"),L162,0),0)+IF((P162+(T162/2))=V163,IF(COUNTIF(M163:O163,"W")&gt;COUNTIF(M163:O163,"L"),O162,0),0),0)</f>
        <v>0</v>
      </c>
      <c r="Z162" s="259" t="str">
        <f>IF(Teams&gt;49,"Show", "Hide")</f>
        <v>Hide</v>
      </c>
      <c r="AA162" s="158"/>
      <c r="AB162" s="158"/>
      <c r="AC162" s="159"/>
      <c r="AD162" s="159"/>
      <c r="AE162" s="158"/>
      <c r="AF162" s="158"/>
      <c r="AG162" s="159"/>
      <c r="AH162" s="159"/>
      <c r="AI162" s="159"/>
      <c r="AJ162" s="159"/>
      <c r="AK162" s="159"/>
      <c r="AL162" s="159"/>
      <c r="AM162" s="159"/>
      <c r="AN162" s="159"/>
      <c r="AO162" s="159"/>
      <c r="AP162" s="159"/>
      <c r="AQ162" s="159"/>
    </row>
    <row r="163" spans="1:43" s="151" customFormat="1" ht="12.75" hidden="1" customHeight="1" x14ac:dyDescent="0.25">
      <c r="A163" s="443">
        <f>'Tournament Info'!B64</f>
        <v>0</v>
      </c>
      <c r="B163" s="425"/>
      <c r="C163" s="426"/>
      <c r="D163" s="194" t="str">
        <f t="shared" ref="D163:O163" si="49">IF(D164="","",IF(D164&gt;0,"W",IF(D164&lt;0,"L",IF(D164=0,"T"))))</f>
        <v/>
      </c>
      <c r="E163" s="195" t="str">
        <f t="shared" si="49"/>
        <v/>
      </c>
      <c r="F163" s="196" t="str">
        <f t="shared" si="49"/>
        <v/>
      </c>
      <c r="G163" s="194" t="str">
        <f t="shared" si="49"/>
        <v/>
      </c>
      <c r="H163" s="195" t="str">
        <f t="shared" si="49"/>
        <v/>
      </c>
      <c r="I163" s="196" t="str">
        <f t="shared" si="49"/>
        <v/>
      </c>
      <c r="J163" s="194" t="str">
        <f t="shared" si="49"/>
        <v/>
      </c>
      <c r="K163" s="195" t="str">
        <f t="shared" si="49"/>
        <v/>
      </c>
      <c r="L163" s="196" t="str">
        <f t="shared" si="49"/>
        <v/>
      </c>
      <c r="M163" s="194" t="str">
        <f t="shared" si="49"/>
        <v/>
      </c>
      <c r="N163" s="195" t="str">
        <f t="shared" si="49"/>
        <v/>
      </c>
      <c r="O163" s="196" t="str">
        <f t="shared" si="49"/>
        <v/>
      </c>
      <c r="P163" s="197" t="s">
        <v>35</v>
      </c>
      <c r="Q163" s="198"/>
      <c r="R163" s="198" t="s">
        <v>36</v>
      </c>
      <c r="S163" s="198"/>
      <c r="T163" s="199" t="s">
        <v>31</v>
      </c>
      <c r="U163" s="127">
        <f>IFERROR(VLOOKUP('Tab Summary'!L162,TeamRecord,4,FALSE ),0)</f>
        <v>0</v>
      </c>
      <c r="V163" s="128">
        <f>IFERROR(VLOOKUP('Tab Summary'!O162,TeamRecord,4,FALSE ),0)</f>
        <v>0</v>
      </c>
      <c r="W163" s="129">
        <f>IFERROR(VLOOKUP('Tab Summary'!L162,TeamRecord,6,FALSE ),0)</f>
        <v>0</v>
      </c>
      <c r="X163" s="127">
        <f>IFERROR(VLOOKUP('Tab Summary'!O162,TeamRecord,6,FALSE ),0)</f>
        <v>0</v>
      </c>
      <c r="Y163" s="171">
        <f>IF(Y162&lt;&gt;0,(IF(COUNTIF('Ballot Entry'!$Z$3:$Z$35,'Tab Summary'!P164)=2,IF(P164=W162,IF(COUNTIF(D163:F163,"W")&gt;COUNTIF(D163:F163,"L"),1,0),0)+IF(P164=X162,IF(COUNTIF(G163:I163,"W")&gt;COUNTIF(G163:I163,"L"),1,0),0)+IF(P164=W163,IF(COUNTIF(J163:L163,"W")&gt;COUNTIF(J163:L163,"L"),1,0),0)+IF(P164=X163,IF(COUNTIF(M163:O163,"W")&gt;COUNTIF(M163:O163,"L"),1,0),0),0)),0)</f>
        <v>0</v>
      </c>
      <c r="Z163" s="259" t="str">
        <f>IF(Teams&gt;49,"Show", "Hide")</f>
        <v>Hide</v>
      </c>
      <c r="AA163" s="158"/>
      <c r="AB163" s="158"/>
      <c r="AC163" s="159"/>
      <c r="AD163" s="159"/>
      <c r="AE163" s="158"/>
      <c r="AF163" s="158"/>
      <c r="AG163" s="159"/>
      <c r="AH163" s="159"/>
      <c r="AI163" s="159"/>
      <c r="AJ163" s="159"/>
      <c r="AK163" s="159"/>
      <c r="AL163" s="159"/>
      <c r="AM163" s="159"/>
      <c r="AN163" s="159"/>
      <c r="AO163" s="159"/>
      <c r="AP163" s="159"/>
      <c r="AQ163" s="159"/>
    </row>
    <row r="164" spans="1:43" s="151" customFormat="1" ht="13.5" hidden="1" customHeight="1" thickBot="1" x14ac:dyDescent="0.3">
      <c r="A164" s="427"/>
      <c r="B164" s="428"/>
      <c r="C164" s="429"/>
      <c r="D164" s="200" t="str">
        <f>IFERROR(IF(D162="Π",VLOOKUP($A162, Round1P,3,FALSE),VLOOKUP($A162,Round1D,3,FALSE)),"")</f>
        <v/>
      </c>
      <c r="E164" s="201" t="str">
        <f>IFERROR(IF(Ballots=3,IF(D162="Π",VLOOKUP($A162, Round1P,5,FALSE),VLOOKUP($A162,Round1D,5,FALSE)),""),"")</f>
        <v/>
      </c>
      <c r="F164" s="202" t="str">
        <f>IFERROR(IF(D162="Π",VLOOKUP($A162, Round1P,4,FALSE),VLOOKUP($A162,Round1D,4,FALSE)),"")</f>
        <v/>
      </c>
      <c r="G164" s="200" t="str">
        <f>IFERROR(IF(G162="Π",VLOOKUP($A162, Round2P,3,FALSE),VLOOKUP($A162,Round2D,3,FALSE)),"")</f>
        <v/>
      </c>
      <c r="H164" s="201" t="str">
        <f>IFERROR(IF(Ballots=3,IF(G162="Π",VLOOKUP($A162, Round2P,5,FALSE),VLOOKUP($A162,Round2D,5,FALSE)),""),"")</f>
        <v/>
      </c>
      <c r="I164" s="202" t="str">
        <f>IFERROR(IF(G162="Π",VLOOKUP($A162, Round2P,4,FALSE),VLOOKUP($A162,Round2D,4,FALSE)),"")</f>
        <v/>
      </c>
      <c r="J164" s="200" t="str">
        <f>IFERROR(IF(J162="Π",VLOOKUP($A162, Round3P,3,FALSE),VLOOKUP($A162,Round3D,3,FALSE)),"")</f>
        <v/>
      </c>
      <c r="K164" s="201" t="str">
        <f>IFERROR(IF(Ballots=3,IF(J162="Π",VLOOKUP($A162, Round3P,5,FALSE),VLOOKUP($A162,Round3D,5,FALSE)),""),"")</f>
        <v/>
      </c>
      <c r="L164" s="202" t="str">
        <f>IFERROR(IF(J162="Π",VLOOKUP($A162, Round3P,4,FALSE),VLOOKUP($A162,Round3D,4,FALSE)),"")</f>
        <v/>
      </c>
      <c r="M164" s="200" t="str">
        <f>IFERROR(IF(M162="Π",VLOOKUP($A162, Round4P,3,FALSE),VLOOKUP($A162,Round4D,3,FALSE)),"")</f>
        <v/>
      </c>
      <c r="N164" s="201" t="str">
        <f>IFERROR(IF(Ballots=3,IF(M162="Π",VLOOKUP($A162, Round4P,5,FALSE),VLOOKUP($A162,Round4D,5,FALSE)),""),"")</f>
        <v/>
      </c>
      <c r="O164" s="202" t="str">
        <f>IFERROR(IF(M162="Π",VLOOKUP($A162, Round4P,4,FALSE),VLOOKUP($A162,Round4D,4,FALSE)),"")</f>
        <v/>
      </c>
      <c r="P164" s="203">
        <f>'Tab Summary'!U162+'Tab Summary'!V162+'Tab Summary'!U163+'Tab Summary'!V163</f>
        <v>0</v>
      </c>
      <c r="Q164" s="204"/>
      <c r="R164" s="205">
        <f>SUM('Tab Summary'!W162:X163)</f>
        <v>0</v>
      </c>
      <c r="S164" s="206"/>
      <c r="T164" s="207">
        <f>SUM(D164:O164)</f>
        <v>0</v>
      </c>
      <c r="U164" s="130" t="s">
        <v>67</v>
      </c>
      <c r="V164" s="131">
        <f>IF(D162="Π",COUNTIF(D163:F163,"W"),0)+IF(G162="Π",COUNTIF(G163:I163,"W"),0)+IF(J162="Π",COUNTIF(J163:L163,"W"),0)+IF(M162="Π",COUNTIF(M163:O163,"W"),0)</f>
        <v>0</v>
      </c>
      <c r="W164" s="132" t="s">
        <v>68</v>
      </c>
      <c r="X164" s="130">
        <f>IF(D162="Δ",COUNTIF(D163:F163,"W"),0)+IF(G162="Δ",COUNTIF(G163:I163,"W"),0)+IF(J162="Δ",COUNTIF(J163:L163,"W"),0)+IF(M162="Δ",COUNTIF(M163:O163,"W"),0)</f>
        <v>0</v>
      </c>
      <c r="Y164" s="171"/>
      <c r="Z164" s="259" t="str">
        <f>IF(Teams&gt;49,"Show", "Hide")</f>
        <v>Hide</v>
      </c>
      <c r="AA164" s="158"/>
      <c r="AB164" s="158"/>
      <c r="AC164" s="159"/>
      <c r="AD164" s="159"/>
      <c r="AE164" s="158"/>
      <c r="AF164" s="158"/>
      <c r="AG164" s="159"/>
      <c r="AH164" s="159"/>
      <c r="AI164" s="159"/>
      <c r="AJ164" s="159"/>
      <c r="AK164" s="159"/>
      <c r="AL164" s="159"/>
      <c r="AM164" s="159"/>
      <c r="AN164" s="159"/>
      <c r="AO164" s="159"/>
      <c r="AP164" s="159"/>
      <c r="AQ164" s="159"/>
    </row>
    <row r="165" spans="1:43" s="151" customFormat="1" ht="13.5" hidden="1" customHeight="1" x14ac:dyDescent="0.25">
      <c r="A165" s="430">
        <f>'Tournament Info'!C65</f>
        <v>0</v>
      </c>
      <c r="B165" s="431"/>
      <c r="C165" s="432"/>
      <c r="D165" s="163" t="str">
        <f>IF(COUNTIF('Ballot Entry'!$M$3:$M$37,$A165)=1,"Π",IF(COUNTIF('Ballot Entry'!$N$3:$N$37,$A165)=1,"Δ",""))</f>
        <v/>
      </c>
      <c r="E165" s="164" t="s">
        <v>30</v>
      </c>
      <c r="F165" s="165" t="str">
        <f>IFERROR(IF(D165="Π",VLOOKUP($A165, Round1P,2,FALSE),VLOOKUP($A165,Round1D,2,FALSE)),"")</f>
        <v/>
      </c>
      <c r="G165" s="163" t="str">
        <f>IF(COUNTIF('Ballot Entry'!$M$109:$M$143,$A165)=1,"Π",IF(COUNTIF('Ballot Entry'!$N$109:$N$143,$A165)=1,"Δ",""))</f>
        <v/>
      </c>
      <c r="H165" s="164" t="s">
        <v>30</v>
      </c>
      <c r="I165" s="165" t="str">
        <f>IFERROR(IF(G165="Π",VLOOKUP($A165, Round2P,2,FALSE),VLOOKUP($A165,Round2D,2,FALSE)),"")</f>
        <v/>
      </c>
      <c r="J165" s="163" t="str">
        <f>IF(COUNTIF('Ballot Entry'!$M$215:$M$249,$A165)=1,"Π",IF(COUNTIF('Ballot Entry'!$N$215:$N$249,$A165)=1,"Δ",""))</f>
        <v/>
      </c>
      <c r="K165" s="164" t="s">
        <v>30</v>
      </c>
      <c r="L165" s="165" t="str">
        <f>IFERROR(IF(J165="Π",VLOOKUP($A165, Round3P,2,FALSE),VLOOKUP($A165,Round3D,2,FALSE)),"")</f>
        <v/>
      </c>
      <c r="M165" s="163" t="str">
        <f>IF(COUNTIF('Ballot Entry'!$M$321:$M$355,$A165)=1,"Π",IF(COUNTIF('Ballot Entry'!$N$321:$N$355,$A165)=1,"Δ",""))</f>
        <v/>
      </c>
      <c r="N165" s="164" t="s">
        <v>30</v>
      </c>
      <c r="O165" s="165" t="str">
        <f>IFERROR(IF(M165="Π",VLOOKUP($A165, Round4P,2,FALSE),VLOOKUP($A165,Round4D,2,FALSE)),"")</f>
        <v/>
      </c>
      <c r="P165" s="166">
        <f>COUNTIF(D166:O166,"W")</f>
        <v>0</v>
      </c>
      <c r="Q165" s="167" t="s">
        <v>34</v>
      </c>
      <c r="R165" s="168">
        <f>COUNTIF(D166:O166,"L")</f>
        <v>0</v>
      </c>
      <c r="S165" s="169" t="s">
        <v>34</v>
      </c>
      <c r="T165" s="170">
        <f>COUNTIF(D166:O166,"T")</f>
        <v>0</v>
      </c>
      <c r="U165" s="124">
        <f>IFERROR(VLOOKUP('Tab Summary'!F165,TeamRecord,4,FALSE ),0)</f>
        <v>0</v>
      </c>
      <c r="V165" s="125">
        <f>IFERROR(VLOOKUP('Tab Summary'!I165,TeamRecord,4,FALSE ),0)</f>
        <v>0</v>
      </c>
      <c r="W165" s="126">
        <f>IFERROR(VLOOKUP('Tab Summary'!F165,TeamRecord,6,FALSE ),0)</f>
        <v>0</v>
      </c>
      <c r="X165" s="124">
        <f>IFERROR(VLOOKUP('Tab Summary'!I165,TeamRecord,6,FALSE ),0)</f>
        <v>0</v>
      </c>
      <c r="Y165" s="171">
        <f>IF(COUNTIF('Ballot Entry'!$X$3:$X$221,(P165+(T165/2)))=2,IF((P165+(T165/2))=U165,IF(COUNTIF(D166:F166,"W")&gt;COUNTIF(D166:F166,"L"),F165,0),0)+IF((P165+(T165/2))=V165,IF(COUNTIF(G166:I166,"W")&gt;COUNTIF(G166:I166,"L"),I165,0),0)+IF((P165+(T165/2))=U166,IF(COUNTIF(J166:L166,"W")&gt;COUNTIF(J166:L166,"L"),L165,0),0)+IF((P165+(T165/2))=V166,IF(COUNTIF(M166:O166,"W")&gt;COUNTIF(M166:O166,"L"),O165,0),0),0)</f>
        <v>0</v>
      </c>
      <c r="Z165" s="259" t="str">
        <f>IF(Teams&gt;50,"Show", "Hide")</f>
        <v>Hide</v>
      </c>
      <c r="AA165" s="158"/>
      <c r="AB165" s="158"/>
      <c r="AC165" s="159"/>
      <c r="AD165" s="159"/>
      <c r="AE165" s="158"/>
      <c r="AF165" s="158"/>
      <c r="AG165" s="159"/>
      <c r="AH165" s="159"/>
      <c r="AI165" s="159"/>
      <c r="AJ165" s="159"/>
      <c r="AK165" s="159"/>
      <c r="AL165" s="159"/>
      <c r="AM165" s="159"/>
      <c r="AN165" s="159"/>
      <c r="AO165" s="159"/>
      <c r="AP165" s="159"/>
      <c r="AQ165" s="159"/>
    </row>
    <row r="166" spans="1:43" s="151" customFormat="1" ht="12.75" hidden="1" customHeight="1" x14ac:dyDescent="0.25">
      <c r="A166" s="442">
        <f>'Tournament Info'!B65</f>
        <v>0</v>
      </c>
      <c r="B166" s="434"/>
      <c r="C166" s="435"/>
      <c r="D166" s="172" t="str">
        <f t="shared" ref="D166:O166" si="50">IF(D167="","",IF(D167&gt;0,"W",IF(D167&lt;0,"L",IF(D167=0,"T"))))</f>
        <v/>
      </c>
      <c r="E166" s="173" t="str">
        <f t="shared" si="50"/>
        <v/>
      </c>
      <c r="F166" s="174" t="str">
        <f t="shared" si="50"/>
        <v/>
      </c>
      <c r="G166" s="172" t="str">
        <f t="shared" si="50"/>
        <v/>
      </c>
      <c r="H166" s="173" t="str">
        <f t="shared" si="50"/>
        <v/>
      </c>
      <c r="I166" s="174" t="str">
        <f t="shared" si="50"/>
        <v/>
      </c>
      <c r="J166" s="172" t="str">
        <f t="shared" si="50"/>
        <v/>
      </c>
      <c r="K166" s="173" t="str">
        <f t="shared" si="50"/>
        <v/>
      </c>
      <c r="L166" s="174" t="str">
        <f t="shared" si="50"/>
        <v/>
      </c>
      <c r="M166" s="172" t="str">
        <f t="shared" si="50"/>
        <v/>
      </c>
      <c r="N166" s="173" t="str">
        <f t="shared" si="50"/>
        <v/>
      </c>
      <c r="O166" s="174" t="str">
        <f t="shared" si="50"/>
        <v/>
      </c>
      <c r="P166" s="175" t="s">
        <v>35</v>
      </c>
      <c r="Q166" s="176"/>
      <c r="R166" s="176" t="s">
        <v>36</v>
      </c>
      <c r="S166" s="176"/>
      <c r="T166" s="177" t="s">
        <v>31</v>
      </c>
      <c r="U166" s="127">
        <f>IFERROR(VLOOKUP('Tab Summary'!L165,TeamRecord,4,FALSE ),0)</f>
        <v>0</v>
      </c>
      <c r="V166" s="128">
        <f>IFERROR(VLOOKUP('Tab Summary'!O165,TeamRecord,4,FALSE ),0)</f>
        <v>0</v>
      </c>
      <c r="W166" s="129">
        <f>IFERROR(VLOOKUP('Tab Summary'!L165,TeamRecord,6,FALSE ),0)</f>
        <v>0</v>
      </c>
      <c r="X166" s="127">
        <f>IFERROR(VLOOKUP('Tab Summary'!O165,TeamRecord,6,FALSE ),0)</f>
        <v>0</v>
      </c>
      <c r="Y166" s="171">
        <f>IF(Y165&lt;&gt;0,(IF(COUNTIF('Ballot Entry'!$Z$3:$Z$35,'Tab Summary'!P167)=2,IF(P167=W165,IF(COUNTIF(D166:F166,"W")&gt;COUNTIF(D166:F166,"L"),1,0),0)+IF(P167=X165,IF(COUNTIF(G166:I166,"W")&gt;COUNTIF(G166:I166,"L"),1,0),0)+IF(P167=W166,IF(COUNTIF(J166:L166,"W")&gt;COUNTIF(J166:L166,"L"),1,0),0)+IF(P167=X166,IF(COUNTIF(M166:O166,"W")&gt;COUNTIF(M166:O166,"L"),1,0),0),0)),0)</f>
        <v>0</v>
      </c>
      <c r="Z166" s="259" t="str">
        <f>IF(Teams&gt;50,"Show", "Hide")</f>
        <v>Hide</v>
      </c>
      <c r="AA166" s="158"/>
      <c r="AB166" s="158"/>
      <c r="AC166" s="159"/>
      <c r="AD166" s="159"/>
      <c r="AE166" s="158"/>
      <c r="AF166" s="158"/>
      <c r="AG166" s="159"/>
      <c r="AH166" s="159"/>
      <c r="AI166" s="159"/>
      <c r="AJ166" s="159"/>
      <c r="AK166" s="159"/>
      <c r="AL166" s="159"/>
      <c r="AM166" s="159"/>
      <c r="AN166" s="159"/>
      <c r="AO166" s="159"/>
      <c r="AP166" s="159"/>
      <c r="AQ166" s="159"/>
    </row>
    <row r="167" spans="1:43" s="151" customFormat="1" ht="13.5" hidden="1" customHeight="1" thickBot="1" x14ac:dyDescent="0.3">
      <c r="A167" s="436"/>
      <c r="B167" s="437"/>
      <c r="C167" s="438"/>
      <c r="D167" s="178" t="str">
        <f>IFERROR(IF(D165="Π",VLOOKUP($A165, Round1P,3,FALSE),VLOOKUP($A165,Round1D,3,FALSE)),"")</f>
        <v/>
      </c>
      <c r="E167" s="179" t="str">
        <f>IFERROR(IF(Ballots=3,IF(D165="Π",VLOOKUP($A165, Round1P,5,FALSE),VLOOKUP($A165,Round1D,5,FALSE)),""),"")</f>
        <v/>
      </c>
      <c r="F167" s="180" t="str">
        <f>IFERROR(IF(D165="Π",VLOOKUP($A165, Round1P,4,FALSE),VLOOKUP($A165,Round1D,4,FALSE)),"")</f>
        <v/>
      </c>
      <c r="G167" s="178" t="str">
        <f>IFERROR(IF(G165="Π",VLOOKUP($A165, Round2P,3,FALSE),VLOOKUP($A165,Round2D,3,FALSE)),"")</f>
        <v/>
      </c>
      <c r="H167" s="179" t="str">
        <f>IFERROR(IF(Ballots=3,IF(G165="Π",VLOOKUP($A165, Round2P,5,FALSE),VLOOKUP($A165,Round2D,5,FALSE)),""),"")</f>
        <v/>
      </c>
      <c r="I167" s="180" t="str">
        <f>IFERROR(IF(G165="Π",VLOOKUP($A165, Round2P,4,FALSE),VLOOKUP($A165,Round2D,4,FALSE)),"")</f>
        <v/>
      </c>
      <c r="J167" s="178" t="str">
        <f>IFERROR(IF(J165="Π",VLOOKUP($A165, Round3P,3,FALSE),VLOOKUP($A165,Round3D,3,FALSE)),"")</f>
        <v/>
      </c>
      <c r="K167" s="179" t="str">
        <f>IFERROR(IF(Ballots=3,IF(J165="Π",VLOOKUP($A165, Round3P,5,FALSE),VLOOKUP($A165,Round3D,5,FALSE)),""),"")</f>
        <v/>
      </c>
      <c r="L167" s="180" t="str">
        <f>IFERROR(IF(J165="Π",VLOOKUP($A165, Round3P,4,FALSE),VLOOKUP($A165,Round3D,4,FALSE)),"")</f>
        <v/>
      </c>
      <c r="M167" s="178" t="str">
        <f>IFERROR(IF(M165="Π",VLOOKUP($A165, Round4P,3,FALSE),VLOOKUP($A165,Round4D,3,FALSE)),"")</f>
        <v/>
      </c>
      <c r="N167" s="179" t="str">
        <f>IFERROR(IF(Ballots=3,IF(M165="Π",VLOOKUP($A165, Round4P,5,FALSE),VLOOKUP($A165,Round4D,5,FALSE)),""),"")</f>
        <v/>
      </c>
      <c r="O167" s="180" t="str">
        <f>IFERROR(IF(M165="Π",VLOOKUP($A165, Round4P,4,FALSE),VLOOKUP($A165,Round4D,4,FALSE)),"")</f>
        <v/>
      </c>
      <c r="P167" s="181">
        <f>'Tab Summary'!U165+'Tab Summary'!V165+'Tab Summary'!U166+'Tab Summary'!V166</f>
        <v>0</v>
      </c>
      <c r="Q167" s="182"/>
      <c r="R167" s="183">
        <f>SUM('Tab Summary'!W165:X166)</f>
        <v>0</v>
      </c>
      <c r="S167" s="184"/>
      <c r="T167" s="185">
        <f>SUM(D167:O167)</f>
        <v>0</v>
      </c>
      <c r="U167" s="130" t="s">
        <v>67</v>
      </c>
      <c r="V167" s="131">
        <f>IF(D165="Π",COUNTIF(D166:F166,"W"),0)+IF(G165="Π",COUNTIF(G166:I166,"W"),0)+IF(J165="Π",COUNTIF(J166:L166,"W"),0)+IF(M165="Π",COUNTIF(M166:O166,"W"),0)</f>
        <v>0</v>
      </c>
      <c r="W167" s="132" t="s">
        <v>68</v>
      </c>
      <c r="X167" s="130">
        <f>IF(D165="Δ",COUNTIF(D166:F166,"W"),0)+IF(G165="Δ",COUNTIF(G166:I166,"W"),0)+IF(J165="Δ",COUNTIF(J166:L166,"W"),0)+IF(M165="Δ",COUNTIF(M166:O166,"W"),0)</f>
        <v>0</v>
      </c>
      <c r="Y167" s="171"/>
      <c r="Z167" s="259" t="str">
        <f>IF(Teams&gt;50,"Show", "Hide")</f>
        <v>Hide</v>
      </c>
      <c r="AA167" s="158"/>
      <c r="AB167" s="158"/>
      <c r="AC167" s="159"/>
      <c r="AD167" s="159"/>
      <c r="AE167" s="158"/>
      <c r="AF167" s="158"/>
      <c r="AG167" s="159"/>
      <c r="AH167" s="159"/>
      <c r="AI167" s="159"/>
      <c r="AJ167" s="159"/>
      <c r="AK167" s="159"/>
      <c r="AL167" s="159"/>
      <c r="AM167" s="159"/>
      <c r="AN167" s="159"/>
      <c r="AO167" s="159"/>
      <c r="AP167" s="159"/>
      <c r="AQ167" s="159"/>
    </row>
    <row r="168" spans="1:43" s="151" customFormat="1" ht="13.5" hidden="1" customHeight="1" x14ac:dyDescent="0.25">
      <c r="A168" s="439">
        <f>'Tournament Info'!C66</f>
        <v>0</v>
      </c>
      <c r="B168" s="440"/>
      <c r="C168" s="441"/>
      <c r="D168" s="186" t="str">
        <f>IF(COUNTIF('Ballot Entry'!$M$3:$M$37,$A168)=1,"Π",IF(COUNTIF('Ballot Entry'!$N$3:$N$37,$A168)=1,"Δ",""))</f>
        <v/>
      </c>
      <c r="E168" s="187" t="s">
        <v>30</v>
      </c>
      <c r="F168" s="188" t="str">
        <f>IFERROR(IF(D168="Π",VLOOKUP($A168, Round1P,2,FALSE),VLOOKUP($A168,Round1D,2,FALSE)),"")</f>
        <v/>
      </c>
      <c r="G168" s="186" t="str">
        <f>IF(COUNTIF('Ballot Entry'!$M$109:$M$143,$A168)=1,"Π",IF(COUNTIF('Ballot Entry'!$N$109:$N$143,$A168)=1,"Δ",""))</f>
        <v/>
      </c>
      <c r="H168" s="187" t="s">
        <v>30</v>
      </c>
      <c r="I168" s="188" t="str">
        <f>IFERROR(IF(G168="Π",VLOOKUP($A168, Round2P,2,FALSE),VLOOKUP($A168,Round2D,2,FALSE)),"")</f>
        <v/>
      </c>
      <c r="J168" s="186" t="str">
        <f>IF(COUNTIF('Ballot Entry'!$M$215:$M$249,$A168)=1,"Π",IF(COUNTIF('Ballot Entry'!$N$215:$N$249,$A168)=1,"Δ",""))</f>
        <v/>
      </c>
      <c r="K168" s="187" t="s">
        <v>30</v>
      </c>
      <c r="L168" s="188" t="str">
        <f>IFERROR(IF(J168="Π",VLOOKUP($A168, Round3P,2,FALSE),VLOOKUP($A168,Round3D,2,FALSE)),"")</f>
        <v/>
      </c>
      <c r="M168" s="186" t="str">
        <f>IF(COUNTIF('Ballot Entry'!$M$321:$M$355,$A168)=1,"Π",IF(COUNTIF('Ballot Entry'!$N$321:$N$355,$A168)=1,"Δ",""))</f>
        <v/>
      </c>
      <c r="N168" s="187" t="s">
        <v>30</v>
      </c>
      <c r="O168" s="188" t="str">
        <f>IFERROR(IF(M168="Π",VLOOKUP($A168, Round4P,2,FALSE),VLOOKUP($A168,Round4D,2,FALSE)),"")</f>
        <v/>
      </c>
      <c r="P168" s="189">
        <f>COUNTIF(D169:O169,"W")</f>
        <v>0</v>
      </c>
      <c r="Q168" s="190" t="s">
        <v>34</v>
      </c>
      <c r="R168" s="191">
        <f>COUNTIF(D169:O169,"L")</f>
        <v>0</v>
      </c>
      <c r="S168" s="192" t="s">
        <v>34</v>
      </c>
      <c r="T168" s="193">
        <f>COUNTIF(D169:O169,"T")</f>
        <v>0</v>
      </c>
      <c r="U168" s="124">
        <f>IFERROR(VLOOKUP('Tab Summary'!F168,TeamRecord,4,FALSE ),0)</f>
        <v>0</v>
      </c>
      <c r="V168" s="125">
        <f>IFERROR(VLOOKUP('Tab Summary'!I168,TeamRecord,4,FALSE ),0)</f>
        <v>0</v>
      </c>
      <c r="W168" s="126">
        <f>IFERROR(VLOOKUP('Tab Summary'!F168,TeamRecord,6,FALSE ),0)</f>
        <v>0</v>
      </c>
      <c r="X168" s="124">
        <f>IFERROR(VLOOKUP('Tab Summary'!I168,TeamRecord,6,FALSE ),0)</f>
        <v>0</v>
      </c>
      <c r="Y168" s="171">
        <f>IF(COUNTIF('Ballot Entry'!$X$3:$X$221,(P168+(T168/2)))=2,IF((P168+(T168/2))=U168,IF(COUNTIF(D169:F169,"W")&gt;COUNTIF(D169:F169,"L"),F168,0),0)+IF((P168+(T168/2))=V168,IF(COUNTIF(G169:I169,"W")&gt;COUNTIF(G169:I169,"L"),I168,0),0)+IF((P168+(T168/2))=U169,IF(COUNTIF(J169:L169,"W")&gt;COUNTIF(J169:L169,"L"),L168,0),0)+IF((P168+(T168/2))=V169,IF(COUNTIF(M169:O169,"W")&gt;COUNTIF(M169:O169,"L"),O168,0),0),0)</f>
        <v>0</v>
      </c>
      <c r="Z168" s="259" t="str">
        <f>IF(Teams&gt;51,"Show", "Hide")</f>
        <v>Hide</v>
      </c>
      <c r="AA168" s="158"/>
      <c r="AB168" s="158"/>
      <c r="AC168" s="159"/>
      <c r="AD168" s="159"/>
      <c r="AE168" s="158"/>
      <c r="AF168" s="158"/>
      <c r="AG168" s="159"/>
      <c r="AH168" s="159"/>
      <c r="AI168" s="159"/>
      <c r="AJ168" s="159"/>
      <c r="AK168" s="159"/>
      <c r="AL168" s="159"/>
      <c r="AM168" s="159"/>
      <c r="AN168" s="159"/>
      <c r="AO168" s="159"/>
      <c r="AP168" s="159"/>
      <c r="AQ168" s="159"/>
    </row>
    <row r="169" spans="1:43" s="151" customFormat="1" ht="12.75" hidden="1" customHeight="1" x14ac:dyDescent="0.25">
      <c r="A169" s="443">
        <f>'Tournament Info'!B66</f>
        <v>0</v>
      </c>
      <c r="B169" s="425"/>
      <c r="C169" s="426"/>
      <c r="D169" s="194" t="str">
        <f t="shared" ref="D169:O169" si="51">IF(D170="","",IF(D170&gt;0,"W",IF(D170&lt;0,"L",IF(D170=0,"T"))))</f>
        <v/>
      </c>
      <c r="E169" s="195" t="str">
        <f t="shared" si="51"/>
        <v/>
      </c>
      <c r="F169" s="196" t="str">
        <f t="shared" si="51"/>
        <v/>
      </c>
      <c r="G169" s="194" t="str">
        <f t="shared" si="51"/>
        <v/>
      </c>
      <c r="H169" s="195" t="str">
        <f t="shared" si="51"/>
        <v/>
      </c>
      <c r="I169" s="196" t="str">
        <f t="shared" si="51"/>
        <v/>
      </c>
      <c r="J169" s="194" t="str">
        <f t="shared" si="51"/>
        <v/>
      </c>
      <c r="K169" s="195" t="str">
        <f t="shared" si="51"/>
        <v/>
      </c>
      <c r="L169" s="196" t="str">
        <f t="shared" si="51"/>
        <v/>
      </c>
      <c r="M169" s="194" t="str">
        <f t="shared" si="51"/>
        <v/>
      </c>
      <c r="N169" s="195" t="str">
        <f t="shared" si="51"/>
        <v/>
      </c>
      <c r="O169" s="196" t="str">
        <f t="shared" si="51"/>
        <v/>
      </c>
      <c r="P169" s="197" t="s">
        <v>35</v>
      </c>
      <c r="Q169" s="198"/>
      <c r="R169" s="198" t="s">
        <v>36</v>
      </c>
      <c r="S169" s="198"/>
      <c r="T169" s="199" t="s">
        <v>31</v>
      </c>
      <c r="U169" s="127">
        <f>IFERROR(VLOOKUP('Tab Summary'!L168,TeamRecord,4,FALSE ),0)</f>
        <v>0</v>
      </c>
      <c r="V169" s="128">
        <f>IFERROR(VLOOKUP('Tab Summary'!O168,TeamRecord,4,FALSE ),0)</f>
        <v>0</v>
      </c>
      <c r="W169" s="129">
        <f>IFERROR(VLOOKUP('Tab Summary'!L168,TeamRecord,6,FALSE ),0)</f>
        <v>0</v>
      </c>
      <c r="X169" s="127">
        <f>IFERROR(VLOOKUP('Tab Summary'!O168,TeamRecord,6,FALSE ),0)</f>
        <v>0</v>
      </c>
      <c r="Y169" s="171">
        <f>IF(Y168&lt;&gt;0,(IF(COUNTIF('Ballot Entry'!$Z$3:$Z$35,'Tab Summary'!P170)=2,IF(P170=W168,IF(COUNTIF(D169:F169,"W")&gt;COUNTIF(D169:F169,"L"),1,0),0)+IF(P170=X168,IF(COUNTIF(G169:I169,"W")&gt;COUNTIF(G169:I169,"L"),1,0),0)+IF(P170=W169,IF(COUNTIF(J169:L169,"W")&gt;COUNTIF(J169:L169,"L"),1,0),0)+IF(P170=X169,IF(COUNTIF(M169:O169,"W")&gt;COUNTIF(M169:O169,"L"),1,0),0),0)),0)</f>
        <v>0</v>
      </c>
      <c r="Z169" s="259" t="str">
        <f>IF(Teams&gt;51,"Show", "Hide")</f>
        <v>Hide</v>
      </c>
      <c r="AA169" s="158"/>
      <c r="AB169" s="158"/>
      <c r="AC169" s="159"/>
      <c r="AD169" s="159"/>
      <c r="AE169" s="158"/>
      <c r="AF169" s="158"/>
      <c r="AG169" s="159"/>
      <c r="AH169" s="159"/>
      <c r="AI169" s="159"/>
      <c r="AJ169" s="159"/>
      <c r="AK169" s="159"/>
      <c r="AL169" s="159"/>
      <c r="AM169" s="159"/>
      <c r="AN169" s="159"/>
      <c r="AO169" s="159"/>
      <c r="AP169" s="159"/>
      <c r="AQ169" s="159"/>
    </row>
    <row r="170" spans="1:43" s="151" customFormat="1" ht="13.5" hidden="1" customHeight="1" thickBot="1" x14ac:dyDescent="0.3">
      <c r="A170" s="427"/>
      <c r="B170" s="428"/>
      <c r="C170" s="429"/>
      <c r="D170" s="200" t="str">
        <f>IFERROR(IF(D168="Π",VLOOKUP($A168, Round1P,3,FALSE),VLOOKUP($A168,Round1D,3,FALSE)),"")</f>
        <v/>
      </c>
      <c r="E170" s="201" t="str">
        <f>IFERROR(IF(Ballots=3,IF(D168="Π",VLOOKUP($A168, Round1P,5,FALSE),VLOOKUP($A168,Round1D,5,FALSE)),""),"")</f>
        <v/>
      </c>
      <c r="F170" s="202" t="str">
        <f>IFERROR(IF(D168="Π",VLOOKUP($A168, Round1P,4,FALSE),VLOOKUP($A168,Round1D,4,FALSE)),"")</f>
        <v/>
      </c>
      <c r="G170" s="200" t="str">
        <f>IFERROR(IF(G168="Π",VLOOKUP($A168, Round2P,3,FALSE),VLOOKUP($A168,Round2D,3,FALSE)),"")</f>
        <v/>
      </c>
      <c r="H170" s="201" t="str">
        <f>IFERROR(IF(Ballots=3,IF(G168="Π",VLOOKUP($A168, Round2P,5,FALSE),VLOOKUP($A168,Round2D,5,FALSE)),""),"")</f>
        <v/>
      </c>
      <c r="I170" s="202" t="str">
        <f>IFERROR(IF(G168="Π",VLOOKUP($A168, Round2P,4,FALSE),VLOOKUP($A168,Round2D,4,FALSE)),"")</f>
        <v/>
      </c>
      <c r="J170" s="200" t="str">
        <f>IFERROR(IF(J168="Π",VLOOKUP($A168, Round3P,3,FALSE),VLOOKUP($A168,Round3D,3,FALSE)),"")</f>
        <v/>
      </c>
      <c r="K170" s="201" t="str">
        <f>IFERROR(IF(Ballots=3,IF(J168="Π",VLOOKUP($A168, Round3P,5,FALSE),VLOOKUP($A168,Round3D,5,FALSE)),""),"")</f>
        <v/>
      </c>
      <c r="L170" s="202" t="str">
        <f>IFERROR(IF(J168="Π",VLOOKUP($A168, Round3P,4,FALSE),VLOOKUP($A168,Round3D,4,FALSE)),"")</f>
        <v/>
      </c>
      <c r="M170" s="200" t="str">
        <f>IFERROR(IF(M168="Π",VLOOKUP($A168, Round4P,3,FALSE),VLOOKUP($A168,Round4D,3,FALSE)),"")</f>
        <v/>
      </c>
      <c r="N170" s="201" t="str">
        <f>IFERROR(IF(Ballots=3,IF(M168="Π",VLOOKUP($A168, Round4P,5,FALSE),VLOOKUP($A168,Round4D,5,FALSE)),""),"")</f>
        <v/>
      </c>
      <c r="O170" s="202" t="str">
        <f>IFERROR(IF(M168="Π",VLOOKUP($A168, Round4P,4,FALSE),VLOOKUP($A168,Round4D,4,FALSE)),"")</f>
        <v/>
      </c>
      <c r="P170" s="203">
        <f>'Tab Summary'!U168+'Tab Summary'!V168+'Tab Summary'!U169+'Tab Summary'!V169</f>
        <v>0</v>
      </c>
      <c r="Q170" s="204"/>
      <c r="R170" s="205">
        <f>SUM('Tab Summary'!W168:X169)</f>
        <v>0</v>
      </c>
      <c r="S170" s="206"/>
      <c r="T170" s="207">
        <f>SUM(D170:O170)</f>
        <v>0</v>
      </c>
      <c r="U170" s="130" t="s">
        <v>67</v>
      </c>
      <c r="V170" s="131">
        <f>IF(D168="Π",COUNTIF(D169:F169,"W"),0)+IF(G168="Π",COUNTIF(G169:I169,"W"),0)+IF(J168="Π",COUNTIF(J169:L169,"W"),0)+IF(M168="Π",COUNTIF(M169:O169,"W"),0)</f>
        <v>0</v>
      </c>
      <c r="W170" s="132" t="s">
        <v>68</v>
      </c>
      <c r="X170" s="130">
        <f>IF(D168="Δ",COUNTIF(D169:F169,"W"),0)+IF(G168="Δ",COUNTIF(G169:I169,"W"),0)+IF(J168="Δ",COUNTIF(J169:L169,"W"),0)+IF(M168="Δ",COUNTIF(M169:O169,"W"),0)</f>
        <v>0</v>
      </c>
      <c r="Y170" s="171"/>
      <c r="Z170" s="259" t="str">
        <f>IF(Teams&gt;51,"Show", "Hide")</f>
        <v>Hide</v>
      </c>
      <c r="AA170" s="158"/>
      <c r="AB170" s="158"/>
      <c r="AC170" s="159"/>
      <c r="AD170" s="159"/>
      <c r="AE170" s="158"/>
      <c r="AF170" s="158"/>
      <c r="AG170" s="159"/>
      <c r="AH170" s="159"/>
      <c r="AI170" s="159"/>
      <c r="AJ170" s="159"/>
      <c r="AK170" s="159"/>
      <c r="AL170" s="159"/>
      <c r="AM170" s="159"/>
      <c r="AN170" s="159"/>
      <c r="AO170" s="159"/>
      <c r="AP170" s="159"/>
      <c r="AQ170" s="159"/>
    </row>
    <row r="171" spans="1:43" s="151" customFormat="1" ht="13.5" hidden="1" customHeight="1" x14ac:dyDescent="0.25">
      <c r="A171" s="430">
        <f>'Tournament Info'!C67</f>
        <v>0</v>
      </c>
      <c r="B171" s="431"/>
      <c r="C171" s="432"/>
      <c r="D171" s="163" t="str">
        <f>IF(COUNTIF('Ballot Entry'!$M$3:$M$37,$A171)=1,"Π",IF(COUNTIF('Ballot Entry'!$N$3:$N$37,$A171)=1,"Δ",""))</f>
        <v/>
      </c>
      <c r="E171" s="164" t="s">
        <v>30</v>
      </c>
      <c r="F171" s="165" t="str">
        <f>IFERROR(IF(D171="Π",VLOOKUP($A171, Round1P,2,FALSE),VLOOKUP($A171,Round1D,2,FALSE)),"")</f>
        <v/>
      </c>
      <c r="G171" s="163" t="str">
        <f>IF(COUNTIF('Ballot Entry'!$M$109:$M$143,$A171)=1,"Π",IF(COUNTIF('Ballot Entry'!$N$109:$N$143,$A171)=1,"Δ",""))</f>
        <v/>
      </c>
      <c r="H171" s="164" t="s">
        <v>30</v>
      </c>
      <c r="I171" s="165" t="str">
        <f>IFERROR(IF(G171="Π",VLOOKUP($A171, Round2P,2,FALSE),VLOOKUP($A171,Round2D,2,FALSE)),"")</f>
        <v/>
      </c>
      <c r="J171" s="163" t="str">
        <f>IF(COUNTIF('Ballot Entry'!$M$215:$M$249,$A171)=1,"Π",IF(COUNTIF('Ballot Entry'!$N$215:$N$249,$A171)=1,"Δ",""))</f>
        <v/>
      </c>
      <c r="K171" s="164" t="s">
        <v>30</v>
      </c>
      <c r="L171" s="165" t="str">
        <f>IFERROR(IF(J171="Π",VLOOKUP($A171, Round3P,2,FALSE),VLOOKUP($A171,Round3D,2,FALSE)),"")</f>
        <v/>
      </c>
      <c r="M171" s="163" t="str">
        <f>IF(COUNTIF('Ballot Entry'!$M$321:$M$355,$A171)=1,"Π",IF(COUNTIF('Ballot Entry'!$N$321:$N$355,$A171)=1,"Δ",""))</f>
        <v/>
      </c>
      <c r="N171" s="164" t="s">
        <v>30</v>
      </c>
      <c r="O171" s="165" t="str">
        <f>IFERROR(IF(M171="Π",VLOOKUP($A171, Round4P,2,FALSE),VLOOKUP($A171,Round4D,2,FALSE)),"")</f>
        <v/>
      </c>
      <c r="P171" s="166">
        <f>COUNTIF(D172:O172,"W")</f>
        <v>0</v>
      </c>
      <c r="Q171" s="167" t="s">
        <v>34</v>
      </c>
      <c r="R171" s="168">
        <f>COUNTIF(D172:O172,"L")</f>
        <v>0</v>
      </c>
      <c r="S171" s="169" t="s">
        <v>34</v>
      </c>
      <c r="T171" s="170">
        <f>COUNTIF(D172:O172,"T")</f>
        <v>0</v>
      </c>
      <c r="U171" s="124">
        <f>IFERROR(VLOOKUP('Tab Summary'!F171,TeamRecord,4,FALSE ),0)</f>
        <v>0</v>
      </c>
      <c r="V171" s="125">
        <f>IFERROR(VLOOKUP('Tab Summary'!I171,TeamRecord,4,FALSE ),0)</f>
        <v>0</v>
      </c>
      <c r="W171" s="126">
        <f>IFERROR(VLOOKUP('Tab Summary'!F171,TeamRecord,6,FALSE ),0)</f>
        <v>0</v>
      </c>
      <c r="X171" s="124">
        <f>IFERROR(VLOOKUP('Tab Summary'!I171,TeamRecord,6,FALSE ),0)</f>
        <v>0</v>
      </c>
      <c r="Y171" s="171">
        <f>IF(COUNTIF('Ballot Entry'!$X$3:$X$221,(P171+(T171/2)))=2,IF((P171+(T171/2))=U171,IF(COUNTIF(D172:F172,"W")&gt;COUNTIF(D172:F172,"L"),F171,0),0)+IF((P171+(T171/2))=V171,IF(COUNTIF(G172:I172,"W")&gt;COUNTIF(G172:I172,"L"),I171,0),0)+IF((P171+(T171/2))=U172,IF(COUNTIF(J172:L172,"W")&gt;COUNTIF(J172:L172,"L"),L171,0),0)+IF((P171+(T171/2))=V172,IF(COUNTIF(M172:O172,"W")&gt;COUNTIF(M172:O172,"L"),O171,0),0),0)</f>
        <v>0</v>
      </c>
      <c r="Z171" s="259" t="str">
        <f>IF(Teams&gt;52,"Show", "Hide")</f>
        <v>Hide</v>
      </c>
      <c r="AA171" s="158"/>
      <c r="AB171" s="158"/>
      <c r="AC171" s="159"/>
      <c r="AD171" s="159"/>
      <c r="AE171" s="158"/>
      <c r="AF171" s="158"/>
      <c r="AG171" s="159"/>
      <c r="AH171" s="159"/>
      <c r="AI171" s="159"/>
      <c r="AJ171" s="159"/>
      <c r="AK171" s="159"/>
      <c r="AL171" s="159"/>
      <c r="AM171" s="159"/>
      <c r="AN171" s="159"/>
      <c r="AO171" s="159"/>
      <c r="AP171" s="159"/>
      <c r="AQ171" s="159"/>
    </row>
    <row r="172" spans="1:43" s="151" customFormat="1" ht="12.75" hidden="1" customHeight="1" x14ac:dyDescent="0.25">
      <c r="A172" s="442">
        <f>'Tournament Info'!B67</f>
        <v>0</v>
      </c>
      <c r="B172" s="434"/>
      <c r="C172" s="435"/>
      <c r="D172" s="172" t="str">
        <f t="shared" ref="D172:O172" si="52">IF(D173="","",IF(D173&gt;0,"W",IF(D173&lt;0,"L",IF(D173=0,"T"))))</f>
        <v/>
      </c>
      <c r="E172" s="173" t="str">
        <f t="shared" si="52"/>
        <v/>
      </c>
      <c r="F172" s="174" t="str">
        <f t="shared" si="52"/>
        <v/>
      </c>
      <c r="G172" s="172" t="str">
        <f t="shared" si="52"/>
        <v/>
      </c>
      <c r="H172" s="173" t="str">
        <f t="shared" si="52"/>
        <v/>
      </c>
      <c r="I172" s="174" t="str">
        <f t="shared" si="52"/>
        <v/>
      </c>
      <c r="J172" s="172" t="str">
        <f t="shared" si="52"/>
        <v/>
      </c>
      <c r="K172" s="173" t="str">
        <f t="shared" si="52"/>
        <v/>
      </c>
      <c r="L172" s="174" t="str">
        <f t="shared" si="52"/>
        <v/>
      </c>
      <c r="M172" s="172" t="str">
        <f t="shared" si="52"/>
        <v/>
      </c>
      <c r="N172" s="173" t="str">
        <f t="shared" si="52"/>
        <v/>
      </c>
      <c r="O172" s="174" t="str">
        <f t="shared" si="52"/>
        <v/>
      </c>
      <c r="P172" s="175" t="s">
        <v>35</v>
      </c>
      <c r="Q172" s="176"/>
      <c r="R172" s="176" t="s">
        <v>36</v>
      </c>
      <c r="S172" s="176"/>
      <c r="T172" s="177" t="s">
        <v>31</v>
      </c>
      <c r="U172" s="127">
        <f>IFERROR(VLOOKUP('Tab Summary'!L171,TeamRecord,4,FALSE ),0)</f>
        <v>0</v>
      </c>
      <c r="V172" s="128">
        <f>IFERROR(VLOOKUP('Tab Summary'!O171,TeamRecord,4,FALSE ),0)</f>
        <v>0</v>
      </c>
      <c r="W172" s="129">
        <f>IFERROR(VLOOKUP('Tab Summary'!L171,TeamRecord,6,FALSE ),0)</f>
        <v>0</v>
      </c>
      <c r="X172" s="127">
        <f>IFERROR(VLOOKUP('Tab Summary'!O171,TeamRecord,6,FALSE ),0)</f>
        <v>0</v>
      </c>
      <c r="Y172" s="171">
        <f>IF(Y171&lt;&gt;0,(IF(COUNTIF('Ballot Entry'!$Z$3:$Z$35,'Tab Summary'!P173)=2,IF(P173=W171,IF(COUNTIF(D172:F172,"W")&gt;COUNTIF(D172:F172,"L"),1,0),0)+IF(P173=X171,IF(COUNTIF(G172:I172,"W")&gt;COUNTIF(G172:I172,"L"),1,0),0)+IF(P173=W172,IF(COUNTIF(J172:L172,"W")&gt;COUNTIF(J172:L172,"L"),1,0),0)+IF(P173=X172,IF(COUNTIF(M172:O172,"W")&gt;COUNTIF(M172:O172,"L"),1,0),0),0)),0)</f>
        <v>0</v>
      </c>
      <c r="Z172" s="259" t="str">
        <f>IF(Teams&gt;52,"Show", "Hide")</f>
        <v>Hide</v>
      </c>
      <c r="AA172" s="158"/>
      <c r="AB172" s="158"/>
      <c r="AC172" s="159"/>
      <c r="AD172" s="159"/>
      <c r="AE172" s="158"/>
      <c r="AF172" s="158"/>
      <c r="AG172" s="159"/>
      <c r="AH172" s="159"/>
      <c r="AI172" s="159"/>
      <c r="AJ172" s="159"/>
      <c r="AK172" s="159"/>
      <c r="AL172" s="159"/>
      <c r="AM172" s="159"/>
      <c r="AN172" s="159"/>
      <c r="AO172" s="159"/>
      <c r="AP172" s="159"/>
      <c r="AQ172" s="159"/>
    </row>
    <row r="173" spans="1:43" s="151" customFormat="1" ht="13.5" hidden="1" customHeight="1" thickBot="1" x14ac:dyDescent="0.3">
      <c r="A173" s="436"/>
      <c r="B173" s="437"/>
      <c r="C173" s="438"/>
      <c r="D173" s="178" t="str">
        <f>IFERROR(IF(D171="Π",VLOOKUP($A171, Round1P,3,FALSE),VLOOKUP($A171,Round1D,3,FALSE)),"")</f>
        <v/>
      </c>
      <c r="E173" s="179" t="str">
        <f>IFERROR(IF(Ballots=3,IF(D171="Π",VLOOKUP($A171, Round1P,5,FALSE),VLOOKUP($A171,Round1D,5,FALSE)),""),"")</f>
        <v/>
      </c>
      <c r="F173" s="180" t="str">
        <f>IFERROR(IF(D171="Π",VLOOKUP($A171, Round1P,4,FALSE),VLOOKUP($A171,Round1D,4,FALSE)),"")</f>
        <v/>
      </c>
      <c r="G173" s="178" t="str">
        <f>IFERROR(IF(G171="Π",VLOOKUP($A171, Round2P,3,FALSE),VLOOKUP($A171,Round2D,3,FALSE)),"")</f>
        <v/>
      </c>
      <c r="H173" s="179" t="str">
        <f>IFERROR(IF(Ballots=3,IF(G171="Π",VLOOKUP($A171, Round2P,5,FALSE),VLOOKUP($A171,Round2D,5,FALSE)),""),"")</f>
        <v/>
      </c>
      <c r="I173" s="180" t="str">
        <f>IFERROR(IF(G171="Π",VLOOKUP($A171, Round2P,4,FALSE),VLOOKUP($A171,Round2D,4,FALSE)),"")</f>
        <v/>
      </c>
      <c r="J173" s="178" t="str">
        <f>IFERROR(IF(J171="Π",VLOOKUP($A171, Round3P,3,FALSE),VLOOKUP($A171,Round3D,3,FALSE)),"")</f>
        <v/>
      </c>
      <c r="K173" s="179" t="str">
        <f>IFERROR(IF(Ballots=3,IF(J171="Π",VLOOKUP($A171, Round3P,5,FALSE),VLOOKUP($A171,Round3D,5,FALSE)),""),"")</f>
        <v/>
      </c>
      <c r="L173" s="180" t="str">
        <f>IFERROR(IF(J171="Π",VLOOKUP($A171, Round3P,4,FALSE),VLOOKUP($A171,Round3D,4,FALSE)),"")</f>
        <v/>
      </c>
      <c r="M173" s="178" t="str">
        <f>IFERROR(IF(M171="Π",VLOOKUP($A171, Round4P,3,FALSE),VLOOKUP($A171,Round4D,3,FALSE)),"")</f>
        <v/>
      </c>
      <c r="N173" s="179" t="str">
        <f>IFERROR(IF(Ballots=3,IF(M171="Π",VLOOKUP($A171, Round4P,5,FALSE),VLOOKUP($A171,Round4D,5,FALSE)),""),"")</f>
        <v/>
      </c>
      <c r="O173" s="180" t="str">
        <f>IFERROR(IF(M171="Π",VLOOKUP($A171, Round4P,4,FALSE),VLOOKUP($A171,Round4D,4,FALSE)),"")</f>
        <v/>
      </c>
      <c r="P173" s="181">
        <f>'Tab Summary'!U171+'Tab Summary'!V171+'Tab Summary'!U172+'Tab Summary'!V172</f>
        <v>0</v>
      </c>
      <c r="Q173" s="182"/>
      <c r="R173" s="183">
        <f>SUM('Tab Summary'!W171:X172)</f>
        <v>0</v>
      </c>
      <c r="S173" s="184"/>
      <c r="T173" s="185">
        <f>SUM(D173:O173)</f>
        <v>0</v>
      </c>
      <c r="U173" s="130" t="s">
        <v>67</v>
      </c>
      <c r="V173" s="131">
        <f>IF(D171="Π",COUNTIF(D172:F172,"W"),0)+IF(G171="Π",COUNTIF(G172:I172,"W"),0)+IF(J171="Π",COUNTIF(J172:L172,"W"),0)+IF(M171="Π",COUNTIF(M172:O172,"W"),0)</f>
        <v>0</v>
      </c>
      <c r="W173" s="132" t="s">
        <v>68</v>
      </c>
      <c r="X173" s="130">
        <f>IF(D171="Δ",COUNTIF(D172:F172,"W"),0)+IF(G171="Δ",COUNTIF(G172:I172,"W"),0)+IF(J171="Δ",COUNTIF(J172:L172,"W"),0)+IF(M171="Δ",COUNTIF(M172:O172,"W"),0)</f>
        <v>0</v>
      </c>
      <c r="Y173" s="171"/>
      <c r="Z173" s="259" t="str">
        <f>IF(Teams&gt;52,"Show", "Hide")</f>
        <v>Hide</v>
      </c>
      <c r="AA173" s="158"/>
      <c r="AB173" s="158"/>
      <c r="AC173" s="159"/>
      <c r="AD173" s="159"/>
      <c r="AE173" s="158"/>
      <c r="AF173" s="158"/>
      <c r="AG173" s="159"/>
      <c r="AH173" s="159"/>
      <c r="AI173" s="159"/>
      <c r="AJ173" s="159"/>
      <c r="AK173" s="159"/>
      <c r="AL173" s="159"/>
      <c r="AM173" s="159"/>
      <c r="AN173" s="159"/>
      <c r="AO173" s="159"/>
      <c r="AP173" s="159"/>
      <c r="AQ173" s="159"/>
    </row>
    <row r="174" spans="1:43" s="151" customFormat="1" ht="13.5" hidden="1" customHeight="1" x14ac:dyDescent="0.25">
      <c r="A174" s="439">
        <f>'Tournament Info'!C68</f>
        <v>0</v>
      </c>
      <c r="B174" s="440"/>
      <c r="C174" s="441"/>
      <c r="D174" s="186" t="str">
        <f>IF(COUNTIF('Ballot Entry'!$M$3:$M$37,$A174)=1,"Π",IF(COUNTIF('Ballot Entry'!$N$3:$N$37,$A174)=1,"Δ",""))</f>
        <v/>
      </c>
      <c r="E174" s="187" t="s">
        <v>30</v>
      </c>
      <c r="F174" s="188" t="str">
        <f>IFERROR(IF(D174="Π",VLOOKUP($A174, Round1P,2,FALSE),VLOOKUP($A174,Round1D,2,FALSE)),"")</f>
        <v/>
      </c>
      <c r="G174" s="186" t="str">
        <f>IF(COUNTIF('Ballot Entry'!$M$109:$M$143,$A174)=1,"Π",IF(COUNTIF('Ballot Entry'!$N$109:$N$143,$A174)=1,"Δ",""))</f>
        <v/>
      </c>
      <c r="H174" s="187" t="s">
        <v>30</v>
      </c>
      <c r="I174" s="188" t="str">
        <f>IFERROR(IF(G174="Π",VLOOKUP($A174, Round2P,2,FALSE),VLOOKUP($A174,Round2D,2,FALSE)),"")</f>
        <v/>
      </c>
      <c r="J174" s="186" t="str">
        <f>IF(COUNTIF('Ballot Entry'!$M$215:$M$249,$A174)=1,"Π",IF(COUNTIF('Ballot Entry'!$N$215:$N$249,$A174)=1,"Δ",""))</f>
        <v/>
      </c>
      <c r="K174" s="187" t="s">
        <v>30</v>
      </c>
      <c r="L174" s="188" t="str">
        <f>IFERROR(IF(J174="Π",VLOOKUP($A174, Round3P,2,FALSE),VLOOKUP($A174,Round3D,2,FALSE)),"")</f>
        <v/>
      </c>
      <c r="M174" s="186" t="str">
        <f>IF(COUNTIF('Ballot Entry'!$M$321:$M$355,$A174)=1,"Π",IF(COUNTIF('Ballot Entry'!$N$321:$N$355,$A174)=1,"Δ",""))</f>
        <v/>
      </c>
      <c r="N174" s="187" t="s">
        <v>30</v>
      </c>
      <c r="O174" s="188" t="str">
        <f>IFERROR(IF(M174="Π",VLOOKUP($A174, Round4P,2,FALSE),VLOOKUP($A174,Round4D,2,FALSE)),"")</f>
        <v/>
      </c>
      <c r="P174" s="189">
        <f>COUNTIF(D175:O175,"W")</f>
        <v>0</v>
      </c>
      <c r="Q174" s="190" t="s">
        <v>34</v>
      </c>
      <c r="R174" s="191">
        <f>COUNTIF(D175:O175,"L")</f>
        <v>0</v>
      </c>
      <c r="S174" s="192" t="s">
        <v>34</v>
      </c>
      <c r="T174" s="193">
        <f>COUNTIF(D175:O175,"T")</f>
        <v>0</v>
      </c>
      <c r="U174" s="124">
        <f>IFERROR(VLOOKUP('Tab Summary'!F174,TeamRecord,4,FALSE ),0)</f>
        <v>0</v>
      </c>
      <c r="V174" s="125">
        <f>IFERROR(VLOOKUP('Tab Summary'!I174,TeamRecord,4,FALSE ),0)</f>
        <v>0</v>
      </c>
      <c r="W174" s="126">
        <f>IFERROR(VLOOKUP('Tab Summary'!F174,TeamRecord,6,FALSE ),0)</f>
        <v>0</v>
      </c>
      <c r="X174" s="124">
        <f>IFERROR(VLOOKUP('Tab Summary'!I174,TeamRecord,6,FALSE ),0)</f>
        <v>0</v>
      </c>
      <c r="Y174" s="171">
        <f>IF(COUNTIF('Ballot Entry'!$X$3:$X$221,(P174+(T174/2)))=2,IF((P174+(T174/2))=U174,IF(COUNTIF(D175:F175,"W")&gt;COUNTIF(D175:F175,"L"),F174,0),0)+IF((P174+(T174/2))=V174,IF(COUNTIF(G175:I175,"W")&gt;COUNTIF(G175:I175,"L"),I174,0),0)+IF((P174+(T174/2))=U175,IF(COUNTIF(J175:L175,"W")&gt;COUNTIF(J175:L175,"L"),L174,0),0)+IF((P174+(T174/2))=V175,IF(COUNTIF(M175:O175,"W")&gt;COUNTIF(M175:O175,"L"),O174,0),0),0)</f>
        <v>0</v>
      </c>
      <c r="Z174" s="259" t="str">
        <f>IF(Teams&gt;53,"Show", "Hide")</f>
        <v>Hide</v>
      </c>
      <c r="AA174" s="158"/>
      <c r="AB174" s="158"/>
      <c r="AC174" s="159"/>
      <c r="AD174" s="159"/>
      <c r="AE174" s="158"/>
      <c r="AF174" s="158"/>
      <c r="AG174" s="159"/>
      <c r="AH174" s="159"/>
      <c r="AI174" s="159"/>
      <c r="AJ174" s="159"/>
      <c r="AK174" s="159"/>
      <c r="AL174" s="159"/>
      <c r="AM174" s="159"/>
      <c r="AN174" s="159"/>
      <c r="AO174" s="159"/>
      <c r="AP174" s="159"/>
      <c r="AQ174" s="159"/>
    </row>
    <row r="175" spans="1:43" s="151" customFormat="1" ht="12.75" hidden="1" customHeight="1" x14ac:dyDescent="0.25">
      <c r="A175" s="443">
        <f>'Tournament Info'!B68</f>
        <v>0</v>
      </c>
      <c r="B175" s="425"/>
      <c r="C175" s="426"/>
      <c r="D175" s="194" t="str">
        <f t="shared" ref="D175:O175" si="53">IF(D176="","",IF(D176&gt;0,"W",IF(D176&lt;0,"L",IF(D176=0,"T"))))</f>
        <v/>
      </c>
      <c r="E175" s="195" t="str">
        <f t="shared" si="53"/>
        <v/>
      </c>
      <c r="F175" s="196" t="str">
        <f t="shared" si="53"/>
        <v/>
      </c>
      <c r="G175" s="194" t="str">
        <f t="shared" si="53"/>
        <v/>
      </c>
      <c r="H175" s="195" t="str">
        <f t="shared" si="53"/>
        <v/>
      </c>
      <c r="I175" s="196" t="str">
        <f t="shared" si="53"/>
        <v/>
      </c>
      <c r="J175" s="194" t="str">
        <f t="shared" si="53"/>
        <v/>
      </c>
      <c r="K175" s="195" t="str">
        <f t="shared" si="53"/>
        <v/>
      </c>
      <c r="L175" s="196" t="str">
        <f t="shared" si="53"/>
        <v/>
      </c>
      <c r="M175" s="194" t="str">
        <f t="shared" si="53"/>
        <v/>
      </c>
      <c r="N175" s="195" t="str">
        <f t="shared" si="53"/>
        <v/>
      </c>
      <c r="O175" s="196" t="str">
        <f t="shared" si="53"/>
        <v/>
      </c>
      <c r="P175" s="197" t="s">
        <v>35</v>
      </c>
      <c r="Q175" s="198"/>
      <c r="R175" s="198" t="s">
        <v>36</v>
      </c>
      <c r="S175" s="198"/>
      <c r="T175" s="199" t="s">
        <v>31</v>
      </c>
      <c r="U175" s="127">
        <f>IFERROR(VLOOKUP('Tab Summary'!L174,TeamRecord,4,FALSE ),0)</f>
        <v>0</v>
      </c>
      <c r="V175" s="128">
        <f>IFERROR(VLOOKUP('Tab Summary'!O174,TeamRecord,4,FALSE ),0)</f>
        <v>0</v>
      </c>
      <c r="W175" s="129">
        <f>IFERROR(VLOOKUP('Tab Summary'!L174,TeamRecord,6,FALSE ),0)</f>
        <v>0</v>
      </c>
      <c r="X175" s="127">
        <f>IFERROR(VLOOKUP('Tab Summary'!O174,TeamRecord,6,FALSE ),0)</f>
        <v>0</v>
      </c>
      <c r="Y175" s="171">
        <f>IF(Y174&lt;&gt;0,(IF(COUNTIF('Ballot Entry'!$Z$3:$Z$35,'Tab Summary'!P176)=2,IF(P176=W174,IF(COUNTIF(D175:F175,"W")&gt;COUNTIF(D175:F175,"L"),1,0),0)+IF(P176=X174,IF(COUNTIF(G175:I175,"W")&gt;COUNTIF(G175:I175,"L"),1,0),0)+IF(P176=W175,IF(COUNTIF(J175:L175,"W")&gt;COUNTIF(J175:L175,"L"),1,0),0)+IF(P176=X175,IF(COUNTIF(M175:O175,"W")&gt;COUNTIF(M175:O175,"L"),1,0),0),0)),0)</f>
        <v>0</v>
      </c>
      <c r="Z175" s="259" t="str">
        <f>IF(Teams&gt;53,"Show", "Hide")</f>
        <v>Hide</v>
      </c>
      <c r="AA175" s="158"/>
      <c r="AB175" s="158"/>
      <c r="AC175" s="159"/>
      <c r="AD175" s="159"/>
      <c r="AE175" s="158"/>
      <c r="AF175" s="158"/>
      <c r="AG175" s="159"/>
      <c r="AH175" s="159"/>
      <c r="AI175" s="159"/>
      <c r="AJ175" s="159"/>
      <c r="AK175" s="159"/>
      <c r="AL175" s="159"/>
      <c r="AM175" s="159"/>
      <c r="AN175" s="159"/>
      <c r="AO175" s="159"/>
      <c r="AP175" s="159"/>
      <c r="AQ175" s="159"/>
    </row>
    <row r="176" spans="1:43" s="151" customFormat="1" ht="13.5" hidden="1" customHeight="1" thickBot="1" x14ac:dyDescent="0.3">
      <c r="A176" s="427"/>
      <c r="B176" s="428"/>
      <c r="C176" s="429"/>
      <c r="D176" s="200" t="str">
        <f>IFERROR(IF(D174="Π",VLOOKUP($A174, Round1P,3,FALSE),VLOOKUP($A174,Round1D,3,FALSE)),"")</f>
        <v/>
      </c>
      <c r="E176" s="201" t="str">
        <f>IFERROR(IF(Ballots=3,IF(D174="Π",VLOOKUP($A174, Round1P,5,FALSE),VLOOKUP($A174,Round1D,5,FALSE)),""),"")</f>
        <v/>
      </c>
      <c r="F176" s="202" t="str">
        <f>IFERROR(IF(D174="Π",VLOOKUP($A174, Round1P,4,FALSE),VLOOKUP($A174,Round1D,4,FALSE)),"")</f>
        <v/>
      </c>
      <c r="G176" s="200" t="str">
        <f>IFERROR(IF(G174="Π",VLOOKUP($A174, Round2P,3,FALSE),VLOOKUP($A174,Round2D,3,FALSE)),"")</f>
        <v/>
      </c>
      <c r="H176" s="201" t="str">
        <f>IFERROR(IF(Ballots=3,IF(G174="Π",VLOOKUP($A174, Round2P,5,FALSE),VLOOKUP($A174,Round2D,5,FALSE)),""),"")</f>
        <v/>
      </c>
      <c r="I176" s="202" t="str">
        <f>IFERROR(IF(G174="Π",VLOOKUP($A174, Round2P,4,FALSE),VLOOKUP($A174,Round2D,4,FALSE)),"")</f>
        <v/>
      </c>
      <c r="J176" s="200" t="str">
        <f>IFERROR(IF(J174="Π",VLOOKUP($A174, Round3P,3,FALSE),VLOOKUP($A174,Round3D,3,FALSE)),"")</f>
        <v/>
      </c>
      <c r="K176" s="201" t="str">
        <f>IFERROR(IF(Ballots=3,IF(J174="Π",VLOOKUP($A174, Round3P,5,FALSE),VLOOKUP($A174,Round3D,5,FALSE)),""),"")</f>
        <v/>
      </c>
      <c r="L176" s="202" t="str">
        <f>IFERROR(IF(J174="Π",VLOOKUP($A174, Round3P,4,FALSE),VLOOKUP($A174,Round3D,4,FALSE)),"")</f>
        <v/>
      </c>
      <c r="M176" s="200" t="str">
        <f>IFERROR(IF(M174="Π",VLOOKUP($A174, Round4P,3,FALSE),VLOOKUP($A174,Round4D,3,FALSE)),"")</f>
        <v/>
      </c>
      <c r="N176" s="201" t="str">
        <f>IFERROR(IF(Ballots=3,IF(M174="Π",VLOOKUP($A174, Round4P,5,FALSE),VLOOKUP($A174,Round4D,5,FALSE)),""),"")</f>
        <v/>
      </c>
      <c r="O176" s="202" t="str">
        <f>IFERROR(IF(M174="Π",VLOOKUP($A174, Round4P,4,FALSE),VLOOKUP($A174,Round4D,4,FALSE)),"")</f>
        <v/>
      </c>
      <c r="P176" s="203">
        <f>'Tab Summary'!U174+'Tab Summary'!V174+'Tab Summary'!U175+'Tab Summary'!V175</f>
        <v>0</v>
      </c>
      <c r="Q176" s="204"/>
      <c r="R176" s="205">
        <f>SUM('Tab Summary'!W174:X175)</f>
        <v>0</v>
      </c>
      <c r="S176" s="206"/>
      <c r="T176" s="207">
        <f>SUM(D176:O176)</f>
        <v>0</v>
      </c>
      <c r="U176" s="130" t="s">
        <v>67</v>
      </c>
      <c r="V176" s="131">
        <f>IF(D174="Π",COUNTIF(D175:F175,"W"),0)+IF(G174="Π",COUNTIF(G175:I175,"W"),0)+IF(J174="Π",COUNTIF(J175:L175,"W"),0)+IF(M174="Π",COUNTIF(M175:O175,"W"),0)</f>
        <v>0</v>
      </c>
      <c r="W176" s="132" t="s">
        <v>68</v>
      </c>
      <c r="X176" s="130">
        <f>IF(D174="Δ",COUNTIF(D175:F175,"W"),0)+IF(G174="Δ",COUNTIF(G175:I175,"W"),0)+IF(J174="Δ",COUNTIF(J175:L175,"W"),0)+IF(M174="Δ",COUNTIF(M175:O175,"W"),0)</f>
        <v>0</v>
      </c>
      <c r="Y176" s="171"/>
      <c r="Z176" s="259" t="str">
        <f>IF(Teams&gt;53,"Show", "Hide")</f>
        <v>Hide</v>
      </c>
      <c r="AA176" s="158"/>
      <c r="AB176" s="158"/>
      <c r="AC176" s="159"/>
      <c r="AD176" s="159"/>
      <c r="AE176" s="158"/>
      <c r="AF176" s="158"/>
      <c r="AG176" s="159"/>
      <c r="AH176" s="159"/>
      <c r="AI176" s="159"/>
      <c r="AJ176" s="159"/>
      <c r="AK176" s="159"/>
      <c r="AL176" s="159"/>
      <c r="AM176" s="159"/>
      <c r="AN176" s="159"/>
      <c r="AO176" s="159"/>
      <c r="AP176" s="159"/>
      <c r="AQ176" s="159"/>
    </row>
    <row r="177" spans="1:43" s="151" customFormat="1" ht="13.5" hidden="1" customHeight="1" x14ac:dyDescent="0.25">
      <c r="A177" s="430">
        <f>'Tournament Info'!C69</f>
        <v>0</v>
      </c>
      <c r="B177" s="431"/>
      <c r="C177" s="432"/>
      <c r="D177" s="163" t="str">
        <f>IF(COUNTIF('Ballot Entry'!$M$3:$M$37,$A177)=1,"Π",IF(COUNTIF('Ballot Entry'!$N$3:$N$37,$A177)=1,"Δ",""))</f>
        <v/>
      </c>
      <c r="E177" s="164" t="s">
        <v>30</v>
      </c>
      <c r="F177" s="165" t="str">
        <f>IFERROR(IF(D177="Π",VLOOKUP($A177, Round1P,2,FALSE),VLOOKUP($A177,Round1D,2,FALSE)),"")</f>
        <v/>
      </c>
      <c r="G177" s="163" t="str">
        <f>IF(COUNTIF('Ballot Entry'!$M$109:$M$143,$A177)=1,"Π",IF(COUNTIF('Ballot Entry'!$N$109:$N$143,$A177)=1,"Δ",""))</f>
        <v/>
      </c>
      <c r="H177" s="164" t="s">
        <v>30</v>
      </c>
      <c r="I177" s="165" t="str">
        <f>IFERROR(IF(G177="Π",VLOOKUP($A177, Round2P,2,FALSE),VLOOKUP($A177,Round2D,2,FALSE)),"")</f>
        <v/>
      </c>
      <c r="J177" s="163" t="str">
        <f>IF(COUNTIF('Ballot Entry'!$M$215:$M$249,$A177)=1,"Π",IF(COUNTIF('Ballot Entry'!$N$215:$N$249,$A177)=1,"Δ",""))</f>
        <v/>
      </c>
      <c r="K177" s="164" t="s">
        <v>30</v>
      </c>
      <c r="L177" s="165" t="str">
        <f>IFERROR(IF(J177="Π",VLOOKUP($A177, Round3P,2,FALSE),VLOOKUP($A177,Round3D,2,FALSE)),"")</f>
        <v/>
      </c>
      <c r="M177" s="163" t="str">
        <f>IF(COUNTIF('Ballot Entry'!$M$321:$M$355,$A177)=1,"Π",IF(COUNTIF('Ballot Entry'!$N$321:$N$355,$A177)=1,"Δ",""))</f>
        <v/>
      </c>
      <c r="N177" s="164" t="s">
        <v>30</v>
      </c>
      <c r="O177" s="165" t="str">
        <f>IFERROR(IF(M177="Π",VLOOKUP($A177, Round4P,2,FALSE),VLOOKUP($A177,Round4D,2,FALSE)),"")</f>
        <v/>
      </c>
      <c r="P177" s="166">
        <f>COUNTIF(D178:O178,"W")</f>
        <v>0</v>
      </c>
      <c r="Q177" s="167" t="s">
        <v>34</v>
      </c>
      <c r="R177" s="168">
        <f>COUNTIF(D178:O178,"L")</f>
        <v>0</v>
      </c>
      <c r="S177" s="169" t="s">
        <v>34</v>
      </c>
      <c r="T177" s="170">
        <f>COUNTIF(D178:O178,"T")</f>
        <v>0</v>
      </c>
      <c r="U177" s="124">
        <f>IFERROR(VLOOKUP('Tab Summary'!F177,TeamRecord,4,FALSE ),0)</f>
        <v>0</v>
      </c>
      <c r="V177" s="125">
        <f>IFERROR(VLOOKUP('Tab Summary'!I177,TeamRecord,4,FALSE ),0)</f>
        <v>0</v>
      </c>
      <c r="W177" s="126">
        <f>IFERROR(VLOOKUP('Tab Summary'!F177,TeamRecord,6,FALSE ),0)</f>
        <v>0</v>
      </c>
      <c r="X177" s="124">
        <f>IFERROR(VLOOKUP('Tab Summary'!I177,TeamRecord,6,FALSE ),0)</f>
        <v>0</v>
      </c>
      <c r="Y177" s="171">
        <f>IF(COUNTIF('Ballot Entry'!$X$3:$X$221,(P177+(T177/2)))=2,IF((P177+(T177/2))=U177,IF(COUNTIF(D178:F178,"W")&gt;COUNTIF(D178:F178,"L"),F177,0),0)+IF((P177+(T177/2))=V177,IF(COUNTIF(G178:I178,"W")&gt;COUNTIF(G178:I178,"L"),I177,0),0)+IF((P177+(T177/2))=U178,IF(COUNTIF(J178:L178,"W")&gt;COUNTIF(J178:L178,"L"),L177,0),0)+IF((P177+(T177/2))=V178,IF(COUNTIF(M178:O178,"W")&gt;COUNTIF(M178:O178,"L"),O177,0),0),0)</f>
        <v>0</v>
      </c>
      <c r="Z177" s="259" t="str">
        <f>IF(Teams&gt;54,"Show", "Hide")</f>
        <v>Hide</v>
      </c>
      <c r="AA177" s="158"/>
      <c r="AB177" s="158"/>
      <c r="AC177" s="159"/>
      <c r="AD177" s="159"/>
      <c r="AE177" s="158"/>
      <c r="AF177" s="158"/>
      <c r="AG177" s="159"/>
      <c r="AH177" s="159"/>
      <c r="AI177" s="159"/>
      <c r="AJ177" s="159"/>
      <c r="AK177" s="159"/>
      <c r="AL177" s="159"/>
      <c r="AM177" s="159"/>
      <c r="AN177" s="159"/>
      <c r="AO177" s="159"/>
      <c r="AP177" s="159"/>
      <c r="AQ177" s="159"/>
    </row>
    <row r="178" spans="1:43" s="151" customFormat="1" ht="12.75" hidden="1" customHeight="1" x14ac:dyDescent="0.25">
      <c r="A178" s="442">
        <f>'Tournament Info'!B69</f>
        <v>0</v>
      </c>
      <c r="B178" s="434"/>
      <c r="C178" s="435"/>
      <c r="D178" s="172" t="str">
        <f t="shared" ref="D178:O178" si="54">IF(D179="","",IF(D179&gt;0,"W",IF(D179&lt;0,"L",IF(D179=0,"T"))))</f>
        <v/>
      </c>
      <c r="E178" s="173" t="str">
        <f t="shared" si="54"/>
        <v/>
      </c>
      <c r="F178" s="174" t="str">
        <f t="shared" si="54"/>
        <v/>
      </c>
      <c r="G178" s="172" t="str">
        <f t="shared" si="54"/>
        <v/>
      </c>
      <c r="H178" s="173" t="str">
        <f t="shared" si="54"/>
        <v/>
      </c>
      <c r="I178" s="174" t="str">
        <f t="shared" si="54"/>
        <v/>
      </c>
      <c r="J178" s="172" t="str">
        <f t="shared" si="54"/>
        <v/>
      </c>
      <c r="K178" s="173" t="str">
        <f t="shared" si="54"/>
        <v/>
      </c>
      <c r="L178" s="174" t="str">
        <f t="shared" si="54"/>
        <v/>
      </c>
      <c r="M178" s="172" t="str">
        <f t="shared" si="54"/>
        <v/>
      </c>
      <c r="N178" s="173" t="str">
        <f t="shared" si="54"/>
        <v/>
      </c>
      <c r="O178" s="174" t="str">
        <f t="shared" si="54"/>
        <v/>
      </c>
      <c r="P178" s="175" t="s">
        <v>35</v>
      </c>
      <c r="Q178" s="176"/>
      <c r="R178" s="176" t="s">
        <v>36</v>
      </c>
      <c r="S178" s="176"/>
      <c r="T178" s="177" t="s">
        <v>31</v>
      </c>
      <c r="U178" s="127">
        <f>IFERROR(VLOOKUP('Tab Summary'!L177,TeamRecord,4,FALSE ),0)</f>
        <v>0</v>
      </c>
      <c r="V178" s="128">
        <f>IFERROR(VLOOKUP('Tab Summary'!O177,TeamRecord,4,FALSE ),0)</f>
        <v>0</v>
      </c>
      <c r="W178" s="129">
        <f>IFERROR(VLOOKUP('Tab Summary'!L177,TeamRecord,6,FALSE ),0)</f>
        <v>0</v>
      </c>
      <c r="X178" s="127">
        <f>IFERROR(VLOOKUP('Tab Summary'!O177,TeamRecord,6,FALSE ),0)</f>
        <v>0</v>
      </c>
      <c r="Y178" s="171">
        <f>IF(Y177&lt;&gt;0,(IF(COUNTIF('Ballot Entry'!$Z$3:$Z$35,'Tab Summary'!P179)=2,IF(P179=W177,IF(COUNTIF(D178:F178,"W")&gt;COUNTIF(D178:F178,"L"),1,0),0)+IF(P179=X177,IF(COUNTIF(G178:I178,"W")&gt;COUNTIF(G178:I178,"L"),1,0),0)+IF(P179=W178,IF(COUNTIF(J178:L178,"W")&gt;COUNTIF(J178:L178,"L"),1,0),0)+IF(P179=X178,IF(COUNTIF(M178:O178,"W")&gt;COUNTIF(M178:O178,"L"),1,0),0),0)),0)</f>
        <v>0</v>
      </c>
      <c r="Z178" s="259" t="str">
        <f>IF(Teams&gt;54,"Show", "Hide")</f>
        <v>Hide</v>
      </c>
      <c r="AA178" s="158"/>
      <c r="AB178" s="158"/>
      <c r="AC178" s="159"/>
      <c r="AD178" s="159"/>
      <c r="AE178" s="158"/>
      <c r="AF178" s="158"/>
      <c r="AG178" s="159"/>
      <c r="AH178" s="159"/>
      <c r="AI178" s="159"/>
      <c r="AJ178" s="159"/>
      <c r="AK178" s="159"/>
      <c r="AL178" s="159"/>
      <c r="AM178" s="159"/>
      <c r="AN178" s="159"/>
      <c r="AO178" s="159"/>
      <c r="AP178" s="159"/>
      <c r="AQ178" s="159"/>
    </row>
    <row r="179" spans="1:43" s="151" customFormat="1" ht="13.5" hidden="1" customHeight="1" thickBot="1" x14ac:dyDescent="0.3">
      <c r="A179" s="436"/>
      <c r="B179" s="437"/>
      <c r="C179" s="438"/>
      <c r="D179" s="178" t="str">
        <f>IFERROR(IF(D177="Π",VLOOKUP($A177, Round1P,3,FALSE),VLOOKUP($A177,Round1D,3,FALSE)),"")</f>
        <v/>
      </c>
      <c r="E179" s="179" t="str">
        <f>IFERROR(IF(Ballots=3,IF(D177="Π",VLOOKUP($A177, Round1P,5,FALSE),VLOOKUP($A177,Round1D,5,FALSE)),""),"")</f>
        <v/>
      </c>
      <c r="F179" s="180" t="str">
        <f>IFERROR(IF(D177="Π",VLOOKUP($A177, Round1P,4,FALSE),VLOOKUP($A177,Round1D,4,FALSE)),"")</f>
        <v/>
      </c>
      <c r="G179" s="178" t="str">
        <f>IFERROR(IF(G177="Π",VLOOKUP($A177, Round2P,3,FALSE),VLOOKUP($A177,Round2D,3,FALSE)),"")</f>
        <v/>
      </c>
      <c r="H179" s="179" t="str">
        <f>IFERROR(IF(Ballots=3,IF(G177="Π",VLOOKUP($A177, Round2P,5,FALSE),VLOOKUP($A177,Round2D,5,FALSE)),""),"")</f>
        <v/>
      </c>
      <c r="I179" s="180" t="str">
        <f>IFERROR(IF(G177="Π",VLOOKUP($A177, Round2P,4,FALSE),VLOOKUP($A177,Round2D,4,FALSE)),"")</f>
        <v/>
      </c>
      <c r="J179" s="178" t="str">
        <f>IFERROR(IF(J177="Π",VLOOKUP($A177, Round3P,3,FALSE),VLOOKUP($A177,Round3D,3,FALSE)),"")</f>
        <v/>
      </c>
      <c r="K179" s="179" t="str">
        <f>IFERROR(IF(Ballots=3,IF(J177="Π",VLOOKUP($A177, Round3P,5,FALSE),VLOOKUP($A177,Round3D,5,FALSE)),""),"")</f>
        <v/>
      </c>
      <c r="L179" s="180" t="str">
        <f>IFERROR(IF(J177="Π",VLOOKUP($A177, Round3P,4,FALSE),VLOOKUP($A177,Round3D,4,FALSE)),"")</f>
        <v/>
      </c>
      <c r="M179" s="178" t="str">
        <f>IFERROR(IF(M177="Π",VLOOKUP($A177, Round4P,3,FALSE),VLOOKUP($A177,Round4D,3,FALSE)),"")</f>
        <v/>
      </c>
      <c r="N179" s="179" t="str">
        <f>IFERROR(IF(Ballots=3,IF(M177="Π",VLOOKUP($A177, Round4P,5,FALSE),VLOOKUP($A177,Round4D,5,FALSE)),""),"")</f>
        <v/>
      </c>
      <c r="O179" s="180" t="str">
        <f>IFERROR(IF(M177="Π",VLOOKUP($A177, Round4P,4,FALSE),VLOOKUP($A177,Round4D,4,FALSE)),"")</f>
        <v/>
      </c>
      <c r="P179" s="181">
        <f>'Tab Summary'!U177+'Tab Summary'!V177+'Tab Summary'!U178+'Tab Summary'!V178</f>
        <v>0</v>
      </c>
      <c r="Q179" s="182"/>
      <c r="R179" s="183">
        <f>SUM('Tab Summary'!W177:X178)</f>
        <v>0</v>
      </c>
      <c r="S179" s="184"/>
      <c r="T179" s="185">
        <f>SUM(D179:O179)</f>
        <v>0</v>
      </c>
      <c r="U179" s="130" t="s">
        <v>67</v>
      </c>
      <c r="V179" s="131">
        <f>IF(D177="Π",COUNTIF(D178:F178,"W"),0)+IF(G177="Π",COUNTIF(G178:I178,"W"),0)+IF(J177="Π",COUNTIF(J178:L178,"W"),0)+IF(M177="Π",COUNTIF(M178:O178,"W"),0)</f>
        <v>0</v>
      </c>
      <c r="W179" s="132" t="s">
        <v>68</v>
      </c>
      <c r="X179" s="130">
        <f>IF(D177="Δ",COUNTIF(D178:F178,"W"),0)+IF(G177="Δ",COUNTIF(G178:I178,"W"),0)+IF(J177="Δ",COUNTIF(J178:L178,"W"),0)+IF(M177="Δ",COUNTIF(M178:O178,"W"),0)</f>
        <v>0</v>
      </c>
      <c r="Y179" s="171"/>
      <c r="Z179" s="259" t="str">
        <f>IF(Teams&gt;54,"Show", "Hide")</f>
        <v>Hide</v>
      </c>
      <c r="AA179" s="158"/>
      <c r="AB179" s="158"/>
      <c r="AC179" s="159"/>
      <c r="AD179" s="159"/>
      <c r="AE179" s="158"/>
      <c r="AF179" s="158"/>
      <c r="AG179" s="159"/>
      <c r="AH179" s="159"/>
      <c r="AI179" s="159"/>
      <c r="AJ179" s="159"/>
      <c r="AK179" s="159"/>
      <c r="AL179" s="159"/>
      <c r="AM179" s="159"/>
      <c r="AN179" s="159"/>
      <c r="AO179" s="159"/>
      <c r="AP179" s="159"/>
      <c r="AQ179" s="159"/>
    </row>
    <row r="180" spans="1:43" s="151" customFormat="1" ht="13.5" hidden="1" customHeight="1" x14ac:dyDescent="0.25">
      <c r="A180" s="439">
        <f>'Tournament Info'!C70</f>
        <v>0</v>
      </c>
      <c r="B180" s="440"/>
      <c r="C180" s="441"/>
      <c r="D180" s="186" t="str">
        <f>IF(COUNTIF('Ballot Entry'!$M$3:$M$37,$A180)=1,"Π",IF(COUNTIF('Ballot Entry'!$N$3:$N$37,$A180)=1,"Δ",""))</f>
        <v/>
      </c>
      <c r="E180" s="187" t="s">
        <v>30</v>
      </c>
      <c r="F180" s="188" t="str">
        <f>IFERROR(IF(D180="Π",VLOOKUP($A180, Round1P,2,FALSE),VLOOKUP($A180,Round1D,2,FALSE)),"")</f>
        <v/>
      </c>
      <c r="G180" s="186" t="str">
        <f>IF(COUNTIF('Ballot Entry'!$M$109:$M$143,$A180)=1,"Π",IF(COUNTIF('Ballot Entry'!$N$109:$N$143,$A180)=1,"Δ",""))</f>
        <v/>
      </c>
      <c r="H180" s="187" t="s">
        <v>30</v>
      </c>
      <c r="I180" s="188" t="str">
        <f>IFERROR(IF(G180="Π",VLOOKUP($A180, Round2P,2,FALSE),VLOOKUP($A180,Round2D,2,FALSE)),"")</f>
        <v/>
      </c>
      <c r="J180" s="186" t="str">
        <f>IF(COUNTIF('Ballot Entry'!$M$215:$M$249,$A180)=1,"Π",IF(COUNTIF('Ballot Entry'!$N$215:$N$249,$A180)=1,"Δ",""))</f>
        <v/>
      </c>
      <c r="K180" s="187" t="s">
        <v>30</v>
      </c>
      <c r="L180" s="188" t="str">
        <f>IFERROR(IF(J180="Π",VLOOKUP($A180, Round3P,2,FALSE),VLOOKUP($A180,Round3D,2,FALSE)),"")</f>
        <v/>
      </c>
      <c r="M180" s="186" t="str">
        <f>IF(COUNTIF('Ballot Entry'!$M$321:$M$355,$A180)=1,"Π",IF(COUNTIF('Ballot Entry'!$N$321:$N$355,$A180)=1,"Δ",""))</f>
        <v/>
      </c>
      <c r="N180" s="187" t="s">
        <v>30</v>
      </c>
      <c r="O180" s="188" t="str">
        <f>IFERROR(IF(M180="Π",VLOOKUP($A180, Round4P,2,FALSE),VLOOKUP($A180,Round4D,2,FALSE)),"")</f>
        <v/>
      </c>
      <c r="P180" s="189">
        <f>COUNTIF(D181:O181,"W")</f>
        <v>0</v>
      </c>
      <c r="Q180" s="190" t="s">
        <v>34</v>
      </c>
      <c r="R180" s="191">
        <f>COUNTIF(D181:O181,"L")</f>
        <v>0</v>
      </c>
      <c r="S180" s="192" t="s">
        <v>34</v>
      </c>
      <c r="T180" s="193">
        <f>COUNTIF(D181:O181,"T")</f>
        <v>0</v>
      </c>
      <c r="U180" s="124">
        <f>IFERROR(VLOOKUP('Tab Summary'!F180,TeamRecord,4,FALSE ),0)</f>
        <v>0</v>
      </c>
      <c r="V180" s="125">
        <f>IFERROR(VLOOKUP('Tab Summary'!I180,TeamRecord,4,FALSE ),0)</f>
        <v>0</v>
      </c>
      <c r="W180" s="126">
        <f>IFERROR(VLOOKUP('Tab Summary'!F180,TeamRecord,6,FALSE ),0)</f>
        <v>0</v>
      </c>
      <c r="X180" s="124">
        <f>IFERROR(VLOOKUP('Tab Summary'!I180,TeamRecord,6,FALSE ),0)</f>
        <v>0</v>
      </c>
      <c r="Y180" s="171">
        <f>IF(COUNTIF('Ballot Entry'!$X$3:$X$221,(P180+(T180/2)))=2,IF((P180+(T180/2))=U180,IF(COUNTIF(D181:F181,"W")&gt;COUNTIF(D181:F181,"L"),F180,0),0)+IF((P180+(T180/2))=V180,IF(COUNTIF(G181:I181,"W")&gt;COUNTIF(G181:I181,"L"),I180,0),0)+IF((P180+(T180/2))=U181,IF(COUNTIF(J181:L181,"W")&gt;COUNTIF(J181:L181,"L"),L180,0),0)+IF((P180+(T180/2))=V181,IF(COUNTIF(M181:O181,"W")&gt;COUNTIF(M181:O181,"L"),O180,0),0),0)</f>
        <v>0</v>
      </c>
      <c r="Z180" s="259" t="str">
        <f>IF(Teams&gt;55,"Show", "Hide")</f>
        <v>Hide</v>
      </c>
      <c r="AA180" s="158"/>
      <c r="AC180" s="159"/>
      <c r="AD180" s="159"/>
      <c r="AE180" s="158"/>
      <c r="AF180" s="158"/>
      <c r="AG180" s="159"/>
      <c r="AH180" s="159"/>
      <c r="AI180" s="159"/>
      <c r="AJ180" s="159"/>
      <c r="AK180" s="159"/>
      <c r="AL180" s="159"/>
      <c r="AM180" s="159"/>
      <c r="AN180" s="159"/>
      <c r="AO180" s="159"/>
      <c r="AP180" s="159"/>
      <c r="AQ180" s="159"/>
    </row>
    <row r="181" spans="1:43" s="151" customFormat="1" ht="12.75" hidden="1" customHeight="1" x14ac:dyDescent="0.25">
      <c r="A181" s="443">
        <f>'Tournament Info'!B70</f>
        <v>0</v>
      </c>
      <c r="B181" s="425"/>
      <c r="C181" s="426"/>
      <c r="D181" s="194" t="str">
        <f t="shared" ref="D181:O181" si="55">IF(D182="","",IF(D182&gt;0,"W",IF(D182&lt;0,"L",IF(D182=0,"T"))))</f>
        <v/>
      </c>
      <c r="E181" s="195" t="str">
        <f t="shared" si="55"/>
        <v/>
      </c>
      <c r="F181" s="196" t="str">
        <f t="shared" si="55"/>
        <v/>
      </c>
      <c r="G181" s="194" t="str">
        <f t="shared" si="55"/>
        <v/>
      </c>
      <c r="H181" s="195" t="str">
        <f t="shared" si="55"/>
        <v/>
      </c>
      <c r="I181" s="196" t="str">
        <f t="shared" si="55"/>
        <v/>
      </c>
      <c r="J181" s="194" t="str">
        <f t="shared" si="55"/>
        <v/>
      </c>
      <c r="K181" s="195" t="str">
        <f t="shared" si="55"/>
        <v/>
      </c>
      <c r="L181" s="196" t="str">
        <f t="shared" si="55"/>
        <v/>
      </c>
      <c r="M181" s="194" t="str">
        <f t="shared" si="55"/>
        <v/>
      </c>
      <c r="N181" s="195" t="str">
        <f t="shared" si="55"/>
        <v/>
      </c>
      <c r="O181" s="196" t="str">
        <f t="shared" si="55"/>
        <v/>
      </c>
      <c r="P181" s="197" t="s">
        <v>35</v>
      </c>
      <c r="Q181" s="198"/>
      <c r="R181" s="198" t="s">
        <v>36</v>
      </c>
      <c r="S181" s="198"/>
      <c r="T181" s="199" t="s">
        <v>31</v>
      </c>
      <c r="U181" s="127">
        <f>IFERROR(VLOOKUP('Tab Summary'!L180,TeamRecord,4,FALSE ),0)</f>
        <v>0</v>
      </c>
      <c r="V181" s="128">
        <f>IFERROR(VLOOKUP('Tab Summary'!O180,TeamRecord,4,FALSE ),0)</f>
        <v>0</v>
      </c>
      <c r="W181" s="129">
        <f>IFERROR(VLOOKUP('Tab Summary'!L180,TeamRecord,6,FALSE ),0)</f>
        <v>0</v>
      </c>
      <c r="X181" s="127">
        <f>IFERROR(VLOOKUP('Tab Summary'!O180,TeamRecord,6,FALSE ),0)</f>
        <v>0</v>
      </c>
      <c r="Y181" s="171">
        <f>IF(Y180&lt;&gt;0,(IF(COUNTIF('Ballot Entry'!$Z$3:$Z$35,'Tab Summary'!P182)=2,IF(P182=W180,IF(COUNTIF(D181:F181,"W")&gt;COUNTIF(D181:F181,"L"),1,0),0)+IF(P182=X180,IF(COUNTIF(G181:I181,"W")&gt;COUNTIF(G181:I181,"L"),1,0),0)+IF(P182=W181,IF(COUNTIF(J181:L181,"W")&gt;COUNTIF(J181:L181,"L"),1,0),0)+IF(P182=X181,IF(COUNTIF(M181:O181,"W")&gt;COUNTIF(M181:O181,"L"),1,0),0),0)),0)</f>
        <v>0</v>
      </c>
      <c r="Z181" s="259" t="str">
        <f>IF(Teams&gt;55,"Show", "Hide")</f>
        <v>Hide</v>
      </c>
      <c r="AA181" s="158"/>
      <c r="AB181" s="158"/>
      <c r="AC181" s="159"/>
      <c r="AD181" s="159"/>
      <c r="AE181" s="158"/>
      <c r="AF181" s="158"/>
      <c r="AG181" s="159"/>
      <c r="AH181" s="159"/>
      <c r="AI181" s="159"/>
      <c r="AJ181" s="159"/>
      <c r="AK181" s="159"/>
      <c r="AL181" s="159"/>
      <c r="AM181" s="159"/>
      <c r="AN181" s="159"/>
      <c r="AO181" s="159"/>
      <c r="AP181" s="159"/>
      <c r="AQ181" s="159"/>
    </row>
    <row r="182" spans="1:43" s="151" customFormat="1" ht="13.5" hidden="1" customHeight="1" thickBot="1" x14ac:dyDescent="0.3">
      <c r="A182" s="427"/>
      <c r="B182" s="428"/>
      <c r="C182" s="429"/>
      <c r="D182" s="200" t="str">
        <f>IFERROR(IF(D180="Π",VLOOKUP($A180, Round1P,3,FALSE),VLOOKUP($A180,Round1D,3,FALSE)),"")</f>
        <v/>
      </c>
      <c r="E182" s="201" t="str">
        <f>IFERROR(IF(Ballots=3,IF(D180="Π",VLOOKUP($A180, Round1P,5,FALSE),VLOOKUP($A180,Round1D,5,FALSE)),""),"")</f>
        <v/>
      </c>
      <c r="F182" s="202" t="str">
        <f>IFERROR(IF(D180="Π",VLOOKUP($A180, Round1P,4,FALSE),VLOOKUP($A180,Round1D,4,FALSE)),"")</f>
        <v/>
      </c>
      <c r="G182" s="200" t="str">
        <f>IFERROR(IF(G180="Π",VLOOKUP($A180, Round2P,3,FALSE),VLOOKUP($A180,Round2D,3,FALSE)),"")</f>
        <v/>
      </c>
      <c r="H182" s="201" t="str">
        <f>IFERROR(IF(Ballots=3,IF(G180="Π",VLOOKUP($A180, Round2P,5,FALSE),VLOOKUP($A180,Round2D,5,FALSE)),""),"")</f>
        <v/>
      </c>
      <c r="I182" s="202" t="str">
        <f>IFERROR(IF(G180="Π",VLOOKUP($A180, Round2P,4,FALSE),VLOOKUP($A180,Round2D,4,FALSE)),"")</f>
        <v/>
      </c>
      <c r="J182" s="200" t="str">
        <f>IFERROR(IF(J180="Π",VLOOKUP($A180, Round3P,3,FALSE),VLOOKUP($A180,Round3D,3,FALSE)),"")</f>
        <v/>
      </c>
      <c r="K182" s="201" t="str">
        <f>IFERROR(IF(Ballots=3,IF(J180="Π",VLOOKUP($A180, Round3P,5,FALSE),VLOOKUP($A180,Round3D,5,FALSE)),""),"")</f>
        <v/>
      </c>
      <c r="L182" s="202" t="str">
        <f>IFERROR(IF(J180="Π",VLOOKUP($A180, Round3P,4,FALSE),VLOOKUP($A180,Round3D,4,FALSE)),"")</f>
        <v/>
      </c>
      <c r="M182" s="200" t="str">
        <f>IFERROR(IF(M180="Π",VLOOKUP($A180, Round4P,3,FALSE),VLOOKUP($A180,Round4D,3,FALSE)),"")</f>
        <v/>
      </c>
      <c r="N182" s="201" t="str">
        <f>IFERROR(IF(Ballots=3,IF(M180="Π",VLOOKUP($A180, Round4P,5,FALSE),VLOOKUP($A180,Round4D,5,FALSE)),""),"")</f>
        <v/>
      </c>
      <c r="O182" s="202" t="str">
        <f>IFERROR(IF(M180="Π",VLOOKUP($A180, Round4P,4,FALSE),VLOOKUP($A180,Round4D,4,FALSE)),"")</f>
        <v/>
      </c>
      <c r="P182" s="203">
        <f>'Tab Summary'!U180+'Tab Summary'!V180+'Tab Summary'!U181+'Tab Summary'!V181</f>
        <v>0</v>
      </c>
      <c r="Q182" s="204"/>
      <c r="R182" s="205">
        <f>SUM('Tab Summary'!W180:X181)</f>
        <v>0</v>
      </c>
      <c r="S182" s="206"/>
      <c r="T182" s="207">
        <f>SUM(D182:O182)</f>
        <v>0</v>
      </c>
      <c r="U182" s="130" t="s">
        <v>67</v>
      </c>
      <c r="V182" s="131">
        <f>IF(D180="Π",COUNTIF(D181:F181,"W"),0)+IF(G180="Π",COUNTIF(G181:I181,"W"),0)+IF(J180="Π",COUNTIF(J181:L181,"W"),0)+IF(M180="Π",COUNTIF(M181:O181,"W"),0)</f>
        <v>0</v>
      </c>
      <c r="W182" s="132" t="s">
        <v>68</v>
      </c>
      <c r="X182" s="130">
        <f>IF(D180="Δ",COUNTIF(D181:F181,"W"),0)+IF(G180="Δ",COUNTIF(G181:I181,"W"),0)+IF(J180="Δ",COUNTIF(J181:L181,"W"),0)+IF(M180="Δ",COUNTIF(M181:O181,"W"),0)</f>
        <v>0</v>
      </c>
      <c r="Y182" s="171"/>
      <c r="Z182" s="259" t="str">
        <f>IF(Teams&gt;55,"Show", "Hide")</f>
        <v>Hide</v>
      </c>
      <c r="AA182" s="158"/>
      <c r="AB182" s="158"/>
      <c r="AC182" s="159"/>
      <c r="AD182" s="159"/>
      <c r="AE182" s="158"/>
      <c r="AF182" s="158"/>
      <c r="AG182" s="159"/>
      <c r="AH182" s="159"/>
      <c r="AI182" s="159"/>
      <c r="AJ182" s="159"/>
      <c r="AK182" s="159"/>
      <c r="AL182" s="159"/>
      <c r="AM182" s="159"/>
      <c r="AN182" s="159"/>
      <c r="AO182" s="159"/>
      <c r="AP182" s="159"/>
      <c r="AQ182" s="159"/>
    </row>
    <row r="183" spans="1:43" s="151" customFormat="1" ht="13.5" hidden="1" customHeight="1" x14ac:dyDescent="0.25">
      <c r="A183" s="430">
        <f>'Tournament Info'!C71</f>
        <v>0</v>
      </c>
      <c r="B183" s="431"/>
      <c r="C183" s="432"/>
      <c r="D183" s="163" t="str">
        <f>IF(COUNTIF('Ballot Entry'!$M$3:$M$37,$A183)=1,"Π",IF(COUNTIF('Ballot Entry'!$N$3:$N$37,$A183)=1,"Δ",""))</f>
        <v/>
      </c>
      <c r="E183" s="164" t="s">
        <v>30</v>
      </c>
      <c r="F183" s="165" t="str">
        <f>IFERROR(IF(D183="Π",VLOOKUP($A183, Round1P,2,FALSE),VLOOKUP($A183,Round1D,2,FALSE)),"")</f>
        <v/>
      </c>
      <c r="G183" s="163" t="str">
        <f>IF(COUNTIF('Ballot Entry'!$M$109:$M$143,$A183)=1,"Π",IF(COUNTIF('Ballot Entry'!$N$109:$N$143,$A183)=1,"Δ",""))</f>
        <v/>
      </c>
      <c r="H183" s="164" t="s">
        <v>30</v>
      </c>
      <c r="I183" s="165" t="str">
        <f>IFERROR(IF(G183="Π",VLOOKUP($A183, Round2P,2,FALSE),VLOOKUP($A183,Round2D,2,FALSE)),"")</f>
        <v/>
      </c>
      <c r="J183" s="163" t="str">
        <f>IF(COUNTIF('Ballot Entry'!$M$215:$M$249,$A183)=1,"Π",IF(COUNTIF('Ballot Entry'!$N$215:$N$249,$A183)=1,"Δ",""))</f>
        <v/>
      </c>
      <c r="K183" s="164" t="s">
        <v>30</v>
      </c>
      <c r="L183" s="165" t="str">
        <f>IFERROR(IF(J183="Π",VLOOKUP($A183, Round3P,2,FALSE),VLOOKUP($A183,Round3D,2,FALSE)),"")</f>
        <v/>
      </c>
      <c r="M183" s="163" t="str">
        <f>IF(COUNTIF('Ballot Entry'!$M$321:$M$355,$A183)=1,"Π",IF(COUNTIF('Ballot Entry'!$N$321:$N$355,$A183)=1,"Δ",""))</f>
        <v/>
      </c>
      <c r="N183" s="164" t="s">
        <v>30</v>
      </c>
      <c r="O183" s="165" t="str">
        <f>IFERROR(IF(M183="Π",VLOOKUP($A183, Round4P,2,FALSE),VLOOKUP($A183,Round4D,2,FALSE)),"")</f>
        <v/>
      </c>
      <c r="P183" s="166">
        <f>COUNTIF(D184:O184,"W")</f>
        <v>0</v>
      </c>
      <c r="Q183" s="167" t="s">
        <v>34</v>
      </c>
      <c r="R183" s="168">
        <f>COUNTIF(D184:O184,"L")</f>
        <v>0</v>
      </c>
      <c r="S183" s="169" t="s">
        <v>34</v>
      </c>
      <c r="T183" s="170">
        <f>COUNTIF(D184:O184,"T")</f>
        <v>0</v>
      </c>
      <c r="U183" s="124">
        <f>IFERROR(VLOOKUP('Tab Summary'!F183,TeamRecord,4,FALSE ),0)</f>
        <v>0</v>
      </c>
      <c r="V183" s="125">
        <f>IFERROR(VLOOKUP('Tab Summary'!I183,TeamRecord,4,FALSE ),0)</f>
        <v>0</v>
      </c>
      <c r="W183" s="126">
        <f>IFERROR(VLOOKUP('Tab Summary'!F183,TeamRecord,6,FALSE ),0)</f>
        <v>0</v>
      </c>
      <c r="X183" s="124">
        <f>IFERROR(VLOOKUP('Tab Summary'!I183,TeamRecord,6,FALSE ),0)</f>
        <v>0</v>
      </c>
      <c r="Y183" s="171">
        <f>IF(COUNTIF('Ballot Entry'!$X$3:$X$221,(P183+(T183/2)))=2,IF((P183+(T183/2))=U183,IF(COUNTIF(D184:F184,"W")&gt;COUNTIF(D184:F184,"L"),F183,0),0)+IF((P183+(T183/2))=V183,IF(COUNTIF(G184:I184,"W")&gt;COUNTIF(G184:I184,"L"),I183,0),0)+IF((P183+(T183/2))=U184,IF(COUNTIF(J184:L184,"W")&gt;COUNTIF(J184:L184,"L"),L183,0),0)+IF((P183+(T183/2))=V184,IF(COUNTIF(M184:O184,"W")&gt;COUNTIF(M184:O184,"L"),O183,0),0),0)</f>
        <v>0</v>
      </c>
      <c r="Z183" s="259" t="str">
        <f>IF(Teams&gt;56,"Show", "Hide")</f>
        <v>Hide</v>
      </c>
      <c r="AA183" s="158"/>
      <c r="AB183" s="158"/>
      <c r="AC183" s="159"/>
      <c r="AD183" s="159"/>
      <c r="AE183" s="158"/>
      <c r="AF183" s="158"/>
      <c r="AG183" s="159"/>
      <c r="AH183" s="159"/>
      <c r="AI183" s="159"/>
      <c r="AJ183" s="159"/>
      <c r="AK183" s="159"/>
      <c r="AL183" s="159"/>
      <c r="AM183" s="159"/>
      <c r="AN183" s="159"/>
      <c r="AO183" s="159"/>
      <c r="AP183" s="159"/>
      <c r="AQ183" s="159"/>
    </row>
    <row r="184" spans="1:43" s="151" customFormat="1" ht="13.5" hidden="1" customHeight="1" x14ac:dyDescent="0.25">
      <c r="A184" s="442">
        <f>'Tournament Info'!B71</f>
        <v>0</v>
      </c>
      <c r="B184" s="434"/>
      <c r="C184" s="435"/>
      <c r="D184" s="172" t="str">
        <f t="shared" ref="D184:O184" si="56">IF(D185="","",IF(D185&gt;0,"W",IF(D185&lt;0,"L",IF(D185=0,"T"))))</f>
        <v/>
      </c>
      <c r="E184" s="173" t="str">
        <f t="shared" si="56"/>
        <v/>
      </c>
      <c r="F184" s="174" t="str">
        <f t="shared" si="56"/>
        <v/>
      </c>
      <c r="G184" s="172" t="str">
        <f t="shared" si="56"/>
        <v/>
      </c>
      <c r="H184" s="173" t="str">
        <f t="shared" si="56"/>
        <v/>
      </c>
      <c r="I184" s="174" t="str">
        <f t="shared" si="56"/>
        <v/>
      </c>
      <c r="J184" s="172" t="str">
        <f t="shared" si="56"/>
        <v/>
      </c>
      <c r="K184" s="173" t="str">
        <f t="shared" si="56"/>
        <v/>
      </c>
      <c r="L184" s="174" t="str">
        <f t="shared" si="56"/>
        <v/>
      </c>
      <c r="M184" s="172" t="str">
        <f t="shared" si="56"/>
        <v/>
      </c>
      <c r="N184" s="173" t="str">
        <f t="shared" si="56"/>
        <v/>
      </c>
      <c r="O184" s="174" t="str">
        <f t="shared" si="56"/>
        <v/>
      </c>
      <c r="P184" s="175" t="s">
        <v>35</v>
      </c>
      <c r="Q184" s="176"/>
      <c r="R184" s="176" t="s">
        <v>36</v>
      </c>
      <c r="S184" s="176"/>
      <c r="T184" s="177" t="s">
        <v>31</v>
      </c>
      <c r="U184" s="127">
        <f>IFERROR(VLOOKUP('Tab Summary'!L183,TeamRecord,4,FALSE ),0)</f>
        <v>0</v>
      </c>
      <c r="V184" s="128">
        <f>IFERROR(VLOOKUP('Tab Summary'!O183,TeamRecord,4,FALSE ),0)</f>
        <v>0</v>
      </c>
      <c r="W184" s="129">
        <f>IFERROR(VLOOKUP('Tab Summary'!L183,TeamRecord,6,FALSE ),0)</f>
        <v>0</v>
      </c>
      <c r="X184" s="127">
        <f>IFERROR(VLOOKUP('Tab Summary'!O183,TeamRecord,6,FALSE ),0)</f>
        <v>0</v>
      </c>
      <c r="Y184" s="171">
        <f>IF(Y183&lt;&gt;0,(IF(COUNTIF('Ballot Entry'!$Z$3:$Z$35,'Tab Summary'!P185)=2,IF(P185=W183,IF(COUNTIF(D184:F184,"W")&gt;COUNTIF(D184:F184,"L"),1,0),0)+IF(P185=X183,IF(COUNTIF(G184:I184,"W")&gt;COUNTIF(G184:I184,"L"),1,0),0)+IF(P185=W184,IF(COUNTIF(J184:L184,"W")&gt;COUNTIF(J184:L184,"L"),1,0),0)+IF(P185=X184,IF(COUNTIF(M184:O184,"W")&gt;COUNTIF(M184:O184,"L"),1,0),0),0)),0)</f>
        <v>0</v>
      </c>
      <c r="Z184" s="259" t="str">
        <f>IF(Teams&gt;56,"Show", "Hide")</f>
        <v>Hide</v>
      </c>
      <c r="AA184" s="158"/>
      <c r="AB184" s="158"/>
      <c r="AC184" s="159"/>
      <c r="AD184" s="159"/>
      <c r="AE184" s="158"/>
      <c r="AF184" s="158"/>
      <c r="AG184" s="159"/>
      <c r="AH184" s="159"/>
      <c r="AI184" s="159"/>
      <c r="AJ184" s="159"/>
      <c r="AK184" s="159"/>
      <c r="AL184" s="159"/>
      <c r="AM184" s="159"/>
      <c r="AN184" s="159"/>
      <c r="AO184" s="159"/>
      <c r="AP184" s="159"/>
      <c r="AQ184" s="159"/>
    </row>
    <row r="185" spans="1:43" s="151" customFormat="1" ht="13.5" hidden="1" customHeight="1" thickBot="1" x14ac:dyDescent="0.3">
      <c r="A185" s="436"/>
      <c r="B185" s="437"/>
      <c r="C185" s="438"/>
      <c r="D185" s="178" t="str">
        <f>IFERROR(IF(D183="Π",VLOOKUP($A183, Round1P,3,FALSE),VLOOKUP($A183,Round1D,3,FALSE)),"")</f>
        <v/>
      </c>
      <c r="E185" s="179" t="str">
        <f>IFERROR(IF(Ballots=3,IF(D183="Π",VLOOKUP($A183, Round1P,5,FALSE),VLOOKUP($A183,Round1D,5,FALSE)),""),"")</f>
        <v/>
      </c>
      <c r="F185" s="180" t="str">
        <f>IFERROR(IF(D183="Π",VLOOKUP($A183, Round1P,4,FALSE),VLOOKUP($A183,Round1D,4,FALSE)),"")</f>
        <v/>
      </c>
      <c r="G185" s="178" t="str">
        <f>IFERROR(IF(G183="Π",VLOOKUP($A183, Round2P,3,FALSE),VLOOKUP($A183,Round2D,3,FALSE)),"")</f>
        <v/>
      </c>
      <c r="H185" s="179" t="str">
        <f>IFERROR(IF(Ballots=3,IF(G183="Π",VLOOKUP($A183, Round2P,5,FALSE),VLOOKUP($A183,Round2D,5,FALSE)),""),"")</f>
        <v/>
      </c>
      <c r="I185" s="180" t="str">
        <f>IFERROR(IF(G183="Π",VLOOKUP($A183, Round2P,4,FALSE),VLOOKUP($A183,Round2D,4,FALSE)),"")</f>
        <v/>
      </c>
      <c r="J185" s="178" t="str">
        <f>IFERROR(IF(J183="Π",VLOOKUP($A183, Round3P,3,FALSE),VLOOKUP($A183,Round3D,3,FALSE)),"")</f>
        <v/>
      </c>
      <c r="K185" s="179" t="str">
        <f>IFERROR(IF(Ballots=3,IF(J183="Π",VLOOKUP($A183, Round3P,5,FALSE),VLOOKUP($A183,Round3D,5,FALSE)),""),"")</f>
        <v/>
      </c>
      <c r="L185" s="180" t="str">
        <f>IFERROR(IF(J183="Π",VLOOKUP($A183, Round3P,4,FALSE),VLOOKUP($A183,Round3D,4,FALSE)),"")</f>
        <v/>
      </c>
      <c r="M185" s="178" t="str">
        <f>IFERROR(IF(M183="Π",VLOOKUP($A183, Round4P,3,FALSE),VLOOKUP($A183,Round4D,3,FALSE)),"")</f>
        <v/>
      </c>
      <c r="N185" s="179" t="str">
        <f>IFERROR(IF(Ballots=3,IF(M183="Π",VLOOKUP($A183, Round4P,5,FALSE),VLOOKUP($A183,Round4D,5,FALSE)),""),"")</f>
        <v/>
      </c>
      <c r="O185" s="180" t="str">
        <f>IFERROR(IF(M183="Π",VLOOKUP($A183, Round4P,4,FALSE),VLOOKUP($A183,Round4D,4,FALSE)),"")</f>
        <v/>
      </c>
      <c r="P185" s="181">
        <f>'Tab Summary'!U183+'Tab Summary'!V183+'Tab Summary'!U184+'Tab Summary'!V184</f>
        <v>0</v>
      </c>
      <c r="Q185" s="182"/>
      <c r="R185" s="183">
        <f>SUM('Tab Summary'!W183:X184)</f>
        <v>0</v>
      </c>
      <c r="S185" s="184"/>
      <c r="T185" s="185">
        <f>SUM(D185:O185)</f>
        <v>0</v>
      </c>
      <c r="U185" s="130" t="s">
        <v>67</v>
      </c>
      <c r="V185" s="131">
        <f>IF(D183="Π",COUNTIF(D184:F184,"W"),0)+IF(G183="Π",COUNTIF(G184:I184,"W"),0)+IF(J183="Π",COUNTIF(J184:L184,"W"),0)+IF(M183="Π",COUNTIF(M184:O184,"W"),0)</f>
        <v>0</v>
      </c>
      <c r="W185" s="132" t="s">
        <v>68</v>
      </c>
      <c r="X185" s="130">
        <f>IF(D183="Δ",COUNTIF(D184:F184,"W"),0)+IF(G183="Δ",COUNTIF(G184:I184,"W"),0)+IF(J183="Δ",COUNTIF(J184:L184,"W"),0)+IF(M183="Δ",COUNTIF(M184:O184,"W"),0)</f>
        <v>0</v>
      </c>
      <c r="Y185" s="171"/>
      <c r="Z185" s="259" t="str">
        <f>IF(Teams&gt;56,"Show", "Hide")</f>
        <v>Hide</v>
      </c>
      <c r="AA185" s="158"/>
      <c r="AB185" s="158"/>
      <c r="AC185" s="159"/>
      <c r="AD185" s="159"/>
      <c r="AE185" s="158"/>
      <c r="AF185" s="158"/>
      <c r="AG185" s="159"/>
      <c r="AH185" s="159"/>
      <c r="AI185" s="159"/>
      <c r="AJ185" s="159"/>
      <c r="AK185" s="159"/>
      <c r="AL185" s="159"/>
      <c r="AM185" s="159"/>
      <c r="AN185" s="159"/>
      <c r="AO185" s="159"/>
      <c r="AP185" s="159"/>
      <c r="AQ185" s="159"/>
    </row>
    <row r="186" spans="1:43" s="151" customFormat="1" ht="13.5" hidden="1" customHeight="1" x14ac:dyDescent="0.25">
      <c r="A186" s="439">
        <f>'Tournament Info'!C72</f>
        <v>0</v>
      </c>
      <c r="B186" s="440"/>
      <c r="C186" s="441"/>
      <c r="D186" s="186" t="str">
        <f>IF(COUNTIF('Ballot Entry'!$M$3:$M$37,$A186)=1,"Π",IF(COUNTIF('Ballot Entry'!$N$3:$N$37,$A186)=1,"Δ",""))</f>
        <v/>
      </c>
      <c r="E186" s="187" t="s">
        <v>30</v>
      </c>
      <c r="F186" s="188" t="str">
        <f>IFERROR(IF(D186="Π",VLOOKUP($A186, Round1P,2,FALSE),VLOOKUP($A186,Round1D,2,FALSE)),"")</f>
        <v/>
      </c>
      <c r="G186" s="186" t="str">
        <f>IF(COUNTIF('Ballot Entry'!$M$109:$M$143,$A186)=1,"Π",IF(COUNTIF('Ballot Entry'!$N$109:$N$143,$A186)=1,"Δ",""))</f>
        <v/>
      </c>
      <c r="H186" s="187" t="s">
        <v>30</v>
      </c>
      <c r="I186" s="188" t="str">
        <f>IFERROR(IF(G186="Π",VLOOKUP($A186, Round2P,2,FALSE),VLOOKUP($A186,Round2D,2,FALSE)),"")</f>
        <v/>
      </c>
      <c r="J186" s="186" t="str">
        <f>IF(COUNTIF('Ballot Entry'!$M$215:$M$249,$A186)=1,"Π",IF(COUNTIF('Ballot Entry'!$N$215:$N$249,$A186)=1,"Δ",""))</f>
        <v/>
      </c>
      <c r="K186" s="187" t="s">
        <v>30</v>
      </c>
      <c r="L186" s="188" t="str">
        <f>IFERROR(IF(J186="Π",VLOOKUP($A186, Round3P,2,FALSE),VLOOKUP($A186,Round3D,2,FALSE)),"")</f>
        <v/>
      </c>
      <c r="M186" s="186" t="str">
        <f>IF(COUNTIF('Ballot Entry'!$M$321:$M$355,$A186)=1,"Π",IF(COUNTIF('Ballot Entry'!$N$321:$N$355,$A186)=1,"Δ",""))</f>
        <v/>
      </c>
      <c r="N186" s="187" t="s">
        <v>30</v>
      </c>
      <c r="O186" s="188" t="str">
        <f>IFERROR(IF(M186="Π",VLOOKUP($A186, Round4P,2,FALSE),VLOOKUP($A186,Round4D,2,FALSE)),"")</f>
        <v/>
      </c>
      <c r="P186" s="189">
        <f>COUNTIF(D187:O187,"W")</f>
        <v>0</v>
      </c>
      <c r="Q186" s="190" t="s">
        <v>34</v>
      </c>
      <c r="R186" s="191">
        <f>COUNTIF(D187:O187,"L")</f>
        <v>0</v>
      </c>
      <c r="S186" s="192" t="s">
        <v>34</v>
      </c>
      <c r="T186" s="193">
        <f>COUNTIF(D187:O187,"T")</f>
        <v>0</v>
      </c>
      <c r="U186" s="124">
        <f>IFERROR(VLOOKUP('Tab Summary'!F186,TeamRecord,4,FALSE ),0)</f>
        <v>0</v>
      </c>
      <c r="V186" s="125">
        <f>IFERROR(VLOOKUP('Tab Summary'!I186,TeamRecord,4,FALSE ),0)</f>
        <v>0</v>
      </c>
      <c r="W186" s="126">
        <f>IFERROR(VLOOKUP('Tab Summary'!F186,TeamRecord,6,FALSE ),0)</f>
        <v>0</v>
      </c>
      <c r="X186" s="124">
        <f>IFERROR(VLOOKUP('Tab Summary'!I186,TeamRecord,6,FALSE ),0)</f>
        <v>0</v>
      </c>
      <c r="Y186" s="171">
        <f>IF(COUNTIF('Ballot Entry'!$X$3:$X$221,(P186+(T186/2)))=2,IF((P186+(T186/2))=U186,IF(COUNTIF(D187:F187,"W")&gt;COUNTIF(D187:F187,"L"),F186,0),0)+IF((P186+(T186/2))=V186,IF(COUNTIF(G187:I187,"W")&gt;COUNTIF(G187:I187,"L"),I186,0),0)+IF((P186+(T186/2))=U187,IF(COUNTIF(J187:L187,"W")&gt;COUNTIF(J187:L187,"L"),L186,0),0)+IF((P186+(T186/2))=V187,IF(COUNTIF(M187:O187,"W")&gt;COUNTIF(M187:O187,"L"),O186,0),0),0)</f>
        <v>0</v>
      </c>
      <c r="Z186" s="259" t="str">
        <f>IF(Teams&gt;57,"Show", "Hide")</f>
        <v>Hide</v>
      </c>
      <c r="AA186" s="158"/>
      <c r="AB186" s="158"/>
      <c r="AC186" s="159"/>
      <c r="AD186" s="159"/>
      <c r="AE186" s="158"/>
      <c r="AF186" s="158"/>
      <c r="AG186" s="159"/>
      <c r="AH186" s="159"/>
      <c r="AI186" s="159"/>
      <c r="AJ186" s="159"/>
      <c r="AK186" s="159"/>
      <c r="AL186" s="159"/>
      <c r="AM186" s="159"/>
      <c r="AN186" s="159"/>
      <c r="AO186" s="159"/>
      <c r="AP186" s="159"/>
      <c r="AQ186" s="159"/>
    </row>
    <row r="187" spans="1:43" s="151" customFormat="1" ht="13.5" hidden="1" customHeight="1" x14ac:dyDescent="0.25">
      <c r="A187" s="443">
        <f>'Tournament Info'!B72</f>
        <v>0</v>
      </c>
      <c r="B187" s="425"/>
      <c r="C187" s="426"/>
      <c r="D187" s="194" t="str">
        <f t="shared" ref="D187:O187" si="57">IF(D188="","",IF(D188&gt;0,"W",IF(D188&lt;0,"L",IF(D188=0,"T"))))</f>
        <v/>
      </c>
      <c r="E187" s="195" t="str">
        <f t="shared" si="57"/>
        <v/>
      </c>
      <c r="F187" s="196" t="str">
        <f t="shared" si="57"/>
        <v/>
      </c>
      <c r="G187" s="194" t="str">
        <f t="shared" si="57"/>
        <v/>
      </c>
      <c r="H187" s="195" t="str">
        <f t="shared" si="57"/>
        <v/>
      </c>
      <c r="I187" s="196" t="str">
        <f t="shared" si="57"/>
        <v/>
      </c>
      <c r="J187" s="194" t="str">
        <f t="shared" si="57"/>
        <v/>
      </c>
      <c r="K187" s="195" t="str">
        <f t="shared" si="57"/>
        <v/>
      </c>
      <c r="L187" s="196" t="str">
        <f t="shared" si="57"/>
        <v/>
      </c>
      <c r="M187" s="194" t="str">
        <f t="shared" si="57"/>
        <v/>
      </c>
      <c r="N187" s="195" t="str">
        <f t="shared" si="57"/>
        <v/>
      </c>
      <c r="O187" s="196" t="str">
        <f t="shared" si="57"/>
        <v/>
      </c>
      <c r="P187" s="197" t="s">
        <v>35</v>
      </c>
      <c r="Q187" s="198"/>
      <c r="R187" s="198" t="s">
        <v>36</v>
      </c>
      <c r="S187" s="198"/>
      <c r="T187" s="199" t="s">
        <v>31</v>
      </c>
      <c r="U187" s="127">
        <f>IFERROR(VLOOKUP('Tab Summary'!L186,TeamRecord,4,FALSE ),0)</f>
        <v>0</v>
      </c>
      <c r="V187" s="128">
        <f>IFERROR(VLOOKUP('Tab Summary'!O186,TeamRecord,4,FALSE ),0)</f>
        <v>0</v>
      </c>
      <c r="W187" s="129">
        <f>IFERROR(VLOOKUP('Tab Summary'!L186,TeamRecord,6,FALSE ),0)</f>
        <v>0</v>
      </c>
      <c r="X187" s="127">
        <f>IFERROR(VLOOKUP('Tab Summary'!O186,TeamRecord,6,FALSE ),0)</f>
        <v>0</v>
      </c>
      <c r="Y187" s="171">
        <f>IF(Y186&lt;&gt;0,(IF(COUNTIF('Ballot Entry'!$Z$3:$Z$35,'Tab Summary'!P188)=2,IF(P188=W186,IF(COUNTIF(D187:F187,"W")&gt;COUNTIF(D187:F187,"L"),1,0),0)+IF(P188=X186,IF(COUNTIF(G187:I187,"W")&gt;COUNTIF(G187:I187,"L"),1,0),0)+IF(P188=W187,IF(COUNTIF(J187:L187,"W")&gt;COUNTIF(J187:L187,"L"),1,0),0)+IF(P188=X187,IF(COUNTIF(M187:O187,"W")&gt;COUNTIF(M187:O187,"L"),1,0),0),0)),0)</f>
        <v>0</v>
      </c>
      <c r="Z187" s="259" t="str">
        <f>IF(Teams&gt;57,"Show", "Hide")</f>
        <v>Hide</v>
      </c>
      <c r="AA187" s="158"/>
      <c r="AB187" s="158"/>
      <c r="AC187" s="159"/>
      <c r="AD187" s="159"/>
      <c r="AE187" s="158"/>
      <c r="AF187" s="158"/>
      <c r="AG187" s="159"/>
      <c r="AH187" s="159"/>
      <c r="AI187" s="159"/>
      <c r="AJ187" s="159"/>
      <c r="AK187" s="159"/>
      <c r="AL187" s="159"/>
      <c r="AM187" s="159"/>
      <c r="AN187" s="159"/>
      <c r="AO187" s="159"/>
      <c r="AP187" s="159"/>
      <c r="AQ187" s="159"/>
    </row>
    <row r="188" spans="1:43" s="151" customFormat="1" ht="13.5" hidden="1" customHeight="1" thickBot="1" x14ac:dyDescent="0.3">
      <c r="A188" s="427"/>
      <c r="B188" s="428"/>
      <c r="C188" s="429"/>
      <c r="D188" s="200" t="str">
        <f>IFERROR(IF(D186="Π",VLOOKUP($A186, Round1P,3,FALSE),VLOOKUP($A186,Round1D,3,FALSE)),"")</f>
        <v/>
      </c>
      <c r="E188" s="201" t="str">
        <f>IFERROR(IF(Ballots=3,IF(D186="Π",VLOOKUP($A186, Round1P,5,FALSE),VLOOKUP($A186,Round1D,5,FALSE)),""),"")</f>
        <v/>
      </c>
      <c r="F188" s="202" t="str">
        <f>IFERROR(IF(D186="Π",VLOOKUP($A186, Round1P,4,FALSE),VLOOKUP($A186,Round1D,4,FALSE)),"")</f>
        <v/>
      </c>
      <c r="G188" s="200" t="str">
        <f>IFERROR(IF(G186="Π",VLOOKUP($A186, Round2P,3,FALSE),VLOOKUP($A186,Round2D,3,FALSE)),"")</f>
        <v/>
      </c>
      <c r="H188" s="201" t="str">
        <f>IFERROR(IF(Ballots=3,IF(G186="Π",VLOOKUP($A186, Round2P,5,FALSE),VLOOKUP($A186,Round2D,5,FALSE)),""),"")</f>
        <v/>
      </c>
      <c r="I188" s="202" t="str">
        <f>IFERROR(IF(G186="Π",VLOOKUP($A186, Round2P,4,FALSE),VLOOKUP($A186,Round2D,4,FALSE)),"")</f>
        <v/>
      </c>
      <c r="J188" s="200" t="str">
        <f>IFERROR(IF(J186="Π",VLOOKUP($A186, Round3P,3,FALSE),VLOOKUP($A186,Round3D,3,FALSE)),"")</f>
        <v/>
      </c>
      <c r="K188" s="201" t="str">
        <f>IFERROR(IF(Ballots=3,IF(J186="Π",VLOOKUP($A186, Round3P,5,FALSE),VLOOKUP($A186,Round3D,5,FALSE)),""),"")</f>
        <v/>
      </c>
      <c r="L188" s="202" t="str">
        <f>IFERROR(IF(J186="Π",VLOOKUP($A186, Round3P,4,FALSE),VLOOKUP($A186,Round3D,4,FALSE)),"")</f>
        <v/>
      </c>
      <c r="M188" s="200" t="str">
        <f>IFERROR(IF(M186="Π",VLOOKUP($A186, Round4P,3,FALSE),VLOOKUP($A186,Round4D,3,FALSE)),"")</f>
        <v/>
      </c>
      <c r="N188" s="201" t="str">
        <f>IFERROR(IF(Ballots=3,IF(M186="Π",VLOOKUP($A186, Round4P,5,FALSE),VLOOKUP($A186,Round4D,5,FALSE)),""),"")</f>
        <v/>
      </c>
      <c r="O188" s="202" t="str">
        <f>IFERROR(IF(M186="Π",VLOOKUP($A186, Round4P,4,FALSE),VLOOKUP($A186,Round4D,4,FALSE)),"")</f>
        <v/>
      </c>
      <c r="P188" s="203">
        <f>'Tab Summary'!U186+'Tab Summary'!V186+'Tab Summary'!U187+'Tab Summary'!V187</f>
        <v>0</v>
      </c>
      <c r="Q188" s="204"/>
      <c r="R188" s="205">
        <f>SUM('Tab Summary'!W186:X187)</f>
        <v>0</v>
      </c>
      <c r="S188" s="206"/>
      <c r="T188" s="207">
        <f>SUM(D188:O188)</f>
        <v>0</v>
      </c>
      <c r="U188" s="130" t="s">
        <v>67</v>
      </c>
      <c r="V188" s="131">
        <f>IF(D186="Π",COUNTIF(D187:F187,"W"),0)+IF(G186="Π",COUNTIF(G187:I187,"W"),0)+IF(J186="Π",COUNTIF(J187:L187,"W"),0)+IF(M186="Π",COUNTIF(M187:O187,"W"),0)</f>
        <v>0</v>
      </c>
      <c r="W188" s="132" t="s">
        <v>68</v>
      </c>
      <c r="X188" s="130">
        <f>IF(D186="Δ",COUNTIF(D187:F187,"W"),0)+IF(G186="Δ",COUNTIF(G187:I187,"W"),0)+IF(J186="Δ",COUNTIF(J187:L187,"W"),0)+IF(M186="Δ",COUNTIF(M187:O187,"W"),0)</f>
        <v>0</v>
      </c>
      <c r="Y188" s="171"/>
      <c r="Z188" s="259" t="str">
        <f>IF(Teams&gt;57,"Show", "Hide")</f>
        <v>Hide</v>
      </c>
      <c r="AA188" s="158"/>
      <c r="AB188" s="158"/>
      <c r="AC188" s="159"/>
      <c r="AD188" s="159"/>
      <c r="AE188" s="158"/>
      <c r="AF188" s="158"/>
      <c r="AG188" s="159"/>
      <c r="AH188" s="159"/>
      <c r="AI188" s="159"/>
      <c r="AJ188" s="159"/>
      <c r="AK188" s="159"/>
      <c r="AL188" s="159"/>
      <c r="AM188" s="159"/>
      <c r="AN188" s="159"/>
      <c r="AO188" s="159"/>
      <c r="AP188" s="159"/>
      <c r="AQ188" s="159"/>
    </row>
    <row r="189" spans="1:43" s="151" customFormat="1" ht="13.5" hidden="1" customHeight="1" x14ac:dyDescent="0.25">
      <c r="A189" s="430">
        <f>'Tournament Info'!C73</f>
        <v>0</v>
      </c>
      <c r="B189" s="431"/>
      <c r="C189" s="432"/>
      <c r="D189" s="163" t="str">
        <f>IF(COUNTIF('Ballot Entry'!$M$3:$M$37,$A189)=1,"Π",IF(COUNTIF('Ballot Entry'!$N$3:$N$37,$A189)=1,"Δ",""))</f>
        <v/>
      </c>
      <c r="E189" s="164" t="s">
        <v>30</v>
      </c>
      <c r="F189" s="165" t="str">
        <f>IFERROR(IF(D189="Π",VLOOKUP($A189, Round1P,2,FALSE),VLOOKUP($A189,Round1D,2,FALSE)),"")</f>
        <v/>
      </c>
      <c r="G189" s="163" t="str">
        <f>IF(COUNTIF('Ballot Entry'!$M$109:$M$143,$A189)=1,"Π",IF(COUNTIF('Ballot Entry'!$N$109:$N$143,$A189)=1,"Δ",""))</f>
        <v/>
      </c>
      <c r="H189" s="164" t="s">
        <v>30</v>
      </c>
      <c r="I189" s="165" t="str">
        <f>IFERROR(IF(G189="Π",VLOOKUP($A189, Round2P,2,FALSE),VLOOKUP($A189,Round2D,2,FALSE)),"")</f>
        <v/>
      </c>
      <c r="J189" s="163" t="str">
        <f>IF(COUNTIF('Ballot Entry'!$M$215:$M$249,$A189)=1,"Π",IF(COUNTIF('Ballot Entry'!$N$215:$N$249,$A189)=1,"Δ",""))</f>
        <v/>
      </c>
      <c r="K189" s="164" t="s">
        <v>30</v>
      </c>
      <c r="L189" s="165" t="str">
        <f>IFERROR(IF(J189="Π",VLOOKUP($A189, Round3P,2,FALSE),VLOOKUP($A189,Round3D,2,FALSE)),"")</f>
        <v/>
      </c>
      <c r="M189" s="163" t="str">
        <f>IF(COUNTIF('Ballot Entry'!$M$321:$M$355,$A189)=1,"Π",IF(COUNTIF('Ballot Entry'!$N$321:$N$355,$A189)=1,"Δ",""))</f>
        <v/>
      </c>
      <c r="N189" s="164" t="s">
        <v>30</v>
      </c>
      <c r="O189" s="165" t="str">
        <f>IFERROR(IF(M189="Π",VLOOKUP($A189, Round4P,2,FALSE),VLOOKUP($A189,Round4D,2,FALSE)),"")</f>
        <v/>
      </c>
      <c r="P189" s="166">
        <f>COUNTIF(D190:O190,"W")</f>
        <v>0</v>
      </c>
      <c r="Q189" s="167" t="s">
        <v>34</v>
      </c>
      <c r="R189" s="168">
        <f>COUNTIF(D190:O190,"L")</f>
        <v>0</v>
      </c>
      <c r="S189" s="169" t="s">
        <v>34</v>
      </c>
      <c r="T189" s="170">
        <f>COUNTIF(D190:O190,"T")</f>
        <v>0</v>
      </c>
      <c r="U189" s="124">
        <f>IFERROR(VLOOKUP('Tab Summary'!F189,TeamRecord,4,FALSE ),0)</f>
        <v>0</v>
      </c>
      <c r="V189" s="125">
        <f>IFERROR(VLOOKUP('Tab Summary'!I189,TeamRecord,4,FALSE ),0)</f>
        <v>0</v>
      </c>
      <c r="W189" s="126">
        <f>IFERROR(VLOOKUP('Tab Summary'!F189,TeamRecord,6,FALSE ),0)</f>
        <v>0</v>
      </c>
      <c r="X189" s="124">
        <f>IFERROR(VLOOKUP('Tab Summary'!I189,TeamRecord,6,FALSE ),0)</f>
        <v>0</v>
      </c>
      <c r="Y189" s="171">
        <f>IF(COUNTIF('Ballot Entry'!$X$3:$X$221,(P189+(T189/2)))=2,IF((P189+(T189/2))=U189,IF(COUNTIF(D190:F190,"W")&gt;COUNTIF(D190:F190,"L"),F189,0),0)+IF((P189+(T189/2))=V189,IF(COUNTIF(G190:I190,"W")&gt;COUNTIF(G190:I190,"L"),I189,0),0)+IF((P189+(T189/2))=U190,IF(COUNTIF(J190:L190,"W")&gt;COUNTIF(J190:L190,"L"),L189,0),0)+IF((P189+(T189/2))=V190,IF(COUNTIF(M190:O190,"W")&gt;COUNTIF(M190:O190,"L"),O189,0),0),0)</f>
        <v>0</v>
      </c>
      <c r="Z189" s="259" t="str">
        <f>IF(Teams&gt;58,"Show", "Hide")</f>
        <v>Hide</v>
      </c>
      <c r="AA189" s="158"/>
      <c r="AB189" s="158"/>
      <c r="AC189" s="159"/>
      <c r="AD189" s="159"/>
      <c r="AE189" s="158"/>
      <c r="AF189" s="158"/>
      <c r="AG189" s="159"/>
      <c r="AH189" s="159"/>
      <c r="AI189" s="159"/>
      <c r="AJ189" s="159"/>
      <c r="AK189" s="159"/>
      <c r="AL189" s="159"/>
      <c r="AM189" s="159"/>
      <c r="AN189" s="159"/>
      <c r="AO189" s="159"/>
      <c r="AP189" s="159"/>
      <c r="AQ189" s="159"/>
    </row>
    <row r="190" spans="1:43" s="151" customFormat="1" ht="13.5" hidden="1" customHeight="1" x14ac:dyDescent="0.25">
      <c r="A190" s="442">
        <f>'Tournament Info'!B73</f>
        <v>0</v>
      </c>
      <c r="B190" s="434"/>
      <c r="C190" s="435"/>
      <c r="D190" s="172" t="str">
        <f t="shared" ref="D190:O190" si="58">IF(D191="","",IF(D191&gt;0,"W",IF(D191&lt;0,"L",IF(D191=0,"T"))))</f>
        <v/>
      </c>
      <c r="E190" s="173" t="str">
        <f t="shared" si="58"/>
        <v/>
      </c>
      <c r="F190" s="174" t="str">
        <f t="shared" si="58"/>
        <v/>
      </c>
      <c r="G190" s="172" t="str">
        <f t="shared" si="58"/>
        <v/>
      </c>
      <c r="H190" s="173" t="str">
        <f t="shared" si="58"/>
        <v/>
      </c>
      <c r="I190" s="174" t="str">
        <f t="shared" si="58"/>
        <v/>
      </c>
      <c r="J190" s="172" t="str">
        <f t="shared" si="58"/>
        <v/>
      </c>
      <c r="K190" s="173" t="str">
        <f t="shared" si="58"/>
        <v/>
      </c>
      <c r="L190" s="174" t="str">
        <f t="shared" si="58"/>
        <v/>
      </c>
      <c r="M190" s="172" t="str">
        <f t="shared" si="58"/>
        <v/>
      </c>
      <c r="N190" s="173" t="str">
        <f t="shared" si="58"/>
        <v/>
      </c>
      <c r="O190" s="174" t="str">
        <f t="shared" si="58"/>
        <v/>
      </c>
      <c r="P190" s="175" t="s">
        <v>35</v>
      </c>
      <c r="Q190" s="176"/>
      <c r="R190" s="176" t="s">
        <v>36</v>
      </c>
      <c r="S190" s="176"/>
      <c r="T190" s="177" t="s">
        <v>31</v>
      </c>
      <c r="U190" s="127">
        <f>IFERROR(VLOOKUP('Tab Summary'!L189,TeamRecord,4,FALSE ),0)</f>
        <v>0</v>
      </c>
      <c r="V190" s="128">
        <f>IFERROR(VLOOKUP('Tab Summary'!O189,TeamRecord,4,FALSE ),0)</f>
        <v>0</v>
      </c>
      <c r="W190" s="129">
        <f>IFERROR(VLOOKUP('Tab Summary'!L189,TeamRecord,6,FALSE ),0)</f>
        <v>0</v>
      </c>
      <c r="X190" s="127">
        <f>IFERROR(VLOOKUP('Tab Summary'!O189,TeamRecord,6,FALSE ),0)</f>
        <v>0</v>
      </c>
      <c r="Y190" s="171">
        <f>IF(Y189&lt;&gt;0,(IF(COUNTIF('Ballot Entry'!$Z$3:$Z$35,'Tab Summary'!P191)=2,IF(P191=W189,IF(COUNTIF(D190:F190,"W")&gt;COUNTIF(D190:F190,"L"),1,0),0)+IF(P191=X189,IF(COUNTIF(G190:I190,"W")&gt;COUNTIF(G190:I190,"L"),1,0),0)+IF(P191=W190,IF(COUNTIF(J190:L190,"W")&gt;COUNTIF(J190:L190,"L"),1,0),0)+IF(P191=X190,IF(COUNTIF(M190:O190,"W")&gt;COUNTIF(M190:O190,"L"),1,0),0),0)),0)</f>
        <v>0</v>
      </c>
      <c r="Z190" s="259" t="str">
        <f>IF(Teams&gt;58,"Show", "Hide")</f>
        <v>Hide</v>
      </c>
      <c r="AA190" s="158"/>
      <c r="AB190" s="158"/>
      <c r="AC190" s="159"/>
      <c r="AD190" s="159"/>
      <c r="AE190" s="158"/>
      <c r="AF190" s="158"/>
      <c r="AG190" s="159"/>
      <c r="AH190" s="159"/>
      <c r="AI190" s="159"/>
      <c r="AJ190" s="159"/>
      <c r="AK190" s="159"/>
      <c r="AL190" s="159"/>
      <c r="AM190" s="159"/>
      <c r="AN190" s="159"/>
      <c r="AO190" s="159"/>
      <c r="AP190" s="159"/>
      <c r="AQ190" s="159"/>
    </row>
    <row r="191" spans="1:43" s="151" customFormat="1" ht="13.5" hidden="1" customHeight="1" thickBot="1" x14ac:dyDescent="0.3">
      <c r="A191" s="436"/>
      <c r="B191" s="437"/>
      <c r="C191" s="438"/>
      <c r="D191" s="178" t="str">
        <f>IFERROR(IF(D189="Π",VLOOKUP($A189, Round1P,3,FALSE),VLOOKUP($A189,Round1D,3,FALSE)),"")</f>
        <v/>
      </c>
      <c r="E191" s="179" t="str">
        <f>IFERROR(IF(Ballots=3,IF(D189="Π",VLOOKUP($A189, Round1P,5,FALSE),VLOOKUP($A189,Round1D,5,FALSE)),""),"")</f>
        <v/>
      </c>
      <c r="F191" s="180" t="str">
        <f>IFERROR(IF(D189="Π",VLOOKUP($A189, Round1P,4,FALSE),VLOOKUP($A189,Round1D,4,FALSE)),"")</f>
        <v/>
      </c>
      <c r="G191" s="178" t="str">
        <f>IFERROR(IF(G189="Π",VLOOKUP($A189, Round2P,3,FALSE),VLOOKUP($A189,Round2D,3,FALSE)),"")</f>
        <v/>
      </c>
      <c r="H191" s="179" t="str">
        <f>IFERROR(IF(Ballots=3,IF(G189="Π",VLOOKUP($A189, Round2P,5,FALSE),VLOOKUP($A189,Round2D,5,FALSE)),""),"")</f>
        <v/>
      </c>
      <c r="I191" s="180" t="str">
        <f>IFERROR(IF(G189="Π",VLOOKUP($A189, Round2P,4,FALSE),VLOOKUP($A189,Round2D,4,FALSE)),"")</f>
        <v/>
      </c>
      <c r="J191" s="178" t="str">
        <f>IFERROR(IF(J189="Π",VLOOKUP($A189, Round3P,3,FALSE),VLOOKUP($A189,Round3D,3,FALSE)),"")</f>
        <v/>
      </c>
      <c r="K191" s="179" t="str">
        <f>IFERROR(IF(Ballots=3,IF(J189="Π",VLOOKUP($A189, Round3P,5,FALSE),VLOOKUP($A189,Round3D,5,FALSE)),""),"")</f>
        <v/>
      </c>
      <c r="L191" s="180" t="str">
        <f>IFERROR(IF(J189="Π",VLOOKUP($A189, Round3P,4,FALSE),VLOOKUP($A189,Round3D,4,FALSE)),"")</f>
        <v/>
      </c>
      <c r="M191" s="178" t="str">
        <f>IFERROR(IF(M189="Π",VLOOKUP($A189, Round4P,3,FALSE),VLOOKUP($A189,Round4D,3,FALSE)),"")</f>
        <v/>
      </c>
      <c r="N191" s="179" t="str">
        <f>IFERROR(IF(Ballots=3,IF(M189="Π",VLOOKUP($A189, Round4P,5,FALSE),VLOOKUP($A189,Round4D,5,FALSE)),""),"")</f>
        <v/>
      </c>
      <c r="O191" s="180" t="str">
        <f>IFERROR(IF(M189="Π",VLOOKUP($A189, Round4P,4,FALSE),VLOOKUP($A189,Round4D,4,FALSE)),"")</f>
        <v/>
      </c>
      <c r="P191" s="181">
        <f>'Tab Summary'!U189+'Tab Summary'!V189+'Tab Summary'!U190+'Tab Summary'!V190</f>
        <v>0</v>
      </c>
      <c r="Q191" s="182"/>
      <c r="R191" s="183">
        <f>SUM('Tab Summary'!W189:X190)</f>
        <v>0</v>
      </c>
      <c r="S191" s="184"/>
      <c r="T191" s="185">
        <f>SUM(D191:O191)</f>
        <v>0</v>
      </c>
      <c r="U191" s="130" t="s">
        <v>67</v>
      </c>
      <c r="V191" s="131">
        <f>IF(D189="Π",COUNTIF(D190:F190,"W"),0)+IF(G189="Π",COUNTIF(G190:I190,"W"),0)+IF(J189="Π",COUNTIF(J190:L190,"W"),0)+IF(M189="Π",COUNTIF(M190:O190,"W"),0)</f>
        <v>0</v>
      </c>
      <c r="W191" s="132" t="s">
        <v>68</v>
      </c>
      <c r="X191" s="130">
        <f>IF(D189="Δ",COUNTIF(D190:F190,"W"),0)+IF(G189="Δ",COUNTIF(G190:I190,"W"),0)+IF(J189="Δ",COUNTIF(J190:L190,"W"),0)+IF(M189="Δ",COUNTIF(M190:O190,"W"),0)</f>
        <v>0</v>
      </c>
      <c r="Y191" s="171"/>
      <c r="Z191" s="259" t="str">
        <f>IF(Teams&gt;58,"Show", "Hide")</f>
        <v>Hide</v>
      </c>
      <c r="AA191" s="158"/>
      <c r="AB191" s="158"/>
      <c r="AC191" s="159"/>
      <c r="AD191" s="159"/>
      <c r="AE191" s="158"/>
      <c r="AF191" s="158"/>
      <c r="AG191" s="159"/>
      <c r="AH191" s="159"/>
      <c r="AI191" s="159"/>
      <c r="AJ191" s="159"/>
      <c r="AK191" s="159"/>
      <c r="AL191" s="159"/>
      <c r="AM191" s="159"/>
      <c r="AN191" s="159"/>
      <c r="AO191" s="159"/>
      <c r="AP191" s="159"/>
      <c r="AQ191" s="159"/>
    </row>
    <row r="192" spans="1:43" s="151" customFormat="1" ht="13.5" hidden="1" customHeight="1" x14ac:dyDescent="0.25">
      <c r="A192" s="439">
        <f>'Tournament Info'!C74</f>
        <v>0</v>
      </c>
      <c r="B192" s="440"/>
      <c r="C192" s="441"/>
      <c r="D192" s="186" t="str">
        <f>IF(COUNTIF('Ballot Entry'!$M$3:$M$37,$A192)=1,"Π",IF(COUNTIF('Ballot Entry'!$N$3:$N$37,$A192)=1,"Δ",""))</f>
        <v/>
      </c>
      <c r="E192" s="187" t="s">
        <v>30</v>
      </c>
      <c r="F192" s="188" t="str">
        <f>IFERROR(IF(D192="Π",VLOOKUP($A192, Round1P,2,FALSE),VLOOKUP($A192,Round1D,2,FALSE)),"")</f>
        <v/>
      </c>
      <c r="G192" s="186" t="str">
        <f>IF(COUNTIF('Ballot Entry'!$M$109:$M$143,$A192)=1,"Π",IF(COUNTIF('Ballot Entry'!$N$109:$N$143,$A192)=1,"Δ",""))</f>
        <v/>
      </c>
      <c r="H192" s="187" t="s">
        <v>30</v>
      </c>
      <c r="I192" s="188" t="str">
        <f>IFERROR(IF(G192="Π",VLOOKUP($A192, Round2P,2,FALSE),VLOOKUP($A192,Round2D,2,FALSE)),"")</f>
        <v/>
      </c>
      <c r="J192" s="186" t="str">
        <f>IF(COUNTIF('Ballot Entry'!$M$215:$M$249,$A192)=1,"Π",IF(COUNTIF('Ballot Entry'!$N$215:$N$249,$A192)=1,"Δ",""))</f>
        <v/>
      </c>
      <c r="K192" s="187" t="s">
        <v>30</v>
      </c>
      <c r="L192" s="188" t="str">
        <f>IFERROR(IF(J192="Π",VLOOKUP($A192, Round3P,2,FALSE),VLOOKUP($A192,Round3D,2,FALSE)),"")</f>
        <v/>
      </c>
      <c r="M192" s="186" t="str">
        <f>IF(COUNTIF('Ballot Entry'!$M$321:$M$355,$A192)=1,"Π",IF(COUNTIF('Ballot Entry'!$N$321:$N$355,$A192)=1,"Δ",""))</f>
        <v/>
      </c>
      <c r="N192" s="187" t="s">
        <v>30</v>
      </c>
      <c r="O192" s="188" t="str">
        <f>IFERROR(IF(M192="Π",VLOOKUP($A192, Round4P,2,FALSE),VLOOKUP($A192,Round4D,2,FALSE)),"")</f>
        <v/>
      </c>
      <c r="P192" s="189">
        <f>COUNTIF(D193:O193,"W")</f>
        <v>0</v>
      </c>
      <c r="Q192" s="190" t="s">
        <v>34</v>
      </c>
      <c r="R192" s="191">
        <f>COUNTIF(D193:O193,"L")</f>
        <v>0</v>
      </c>
      <c r="S192" s="192" t="s">
        <v>34</v>
      </c>
      <c r="T192" s="193">
        <f>COUNTIF(D193:O193,"T")</f>
        <v>0</v>
      </c>
      <c r="U192" s="124">
        <f>IFERROR(VLOOKUP('Tab Summary'!F192,TeamRecord,4,FALSE ),0)</f>
        <v>0</v>
      </c>
      <c r="V192" s="125">
        <f>IFERROR(VLOOKUP('Tab Summary'!I192,TeamRecord,4,FALSE ),0)</f>
        <v>0</v>
      </c>
      <c r="W192" s="126">
        <f>IFERROR(VLOOKUP('Tab Summary'!F192,TeamRecord,6,FALSE ),0)</f>
        <v>0</v>
      </c>
      <c r="X192" s="124">
        <f>IFERROR(VLOOKUP('Tab Summary'!I192,TeamRecord,6,FALSE ),0)</f>
        <v>0</v>
      </c>
      <c r="Y192" s="171">
        <f>IF(COUNTIF('Ballot Entry'!$X$3:$X$221,(P192+(T192/2)))=2,IF((P192+(T192/2))=U192,IF(COUNTIF(D193:F193,"W")&gt;COUNTIF(D193:F193,"L"),F192,0),0)+IF((P192+(T192/2))=V192,IF(COUNTIF(G193:I193,"W")&gt;COUNTIF(G193:I193,"L"),I192,0),0)+IF((P192+(T192/2))=U193,IF(COUNTIF(J193:L193,"W")&gt;COUNTIF(J193:L193,"L"),L192,0),0)+IF((P192+(T192/2))=V193,IF(COUNTIF(M193:O193,"W")&gt;COUNTIF(M193:O193,"L"),O192,0),0),0)</f>
        <v>0</v>
      </c>
      <c r="Z192" s="259" t="str">
        <f>IF(Teams&gt;59,"Show", "Hide")</f>
        <v>Hide</v>
      </c>
      <c r="AA192" s="158"/>
      <c r="AB192" s="158"/>
      <c r="AC192" s="159"/>
      <c r="AD192" s="159"/>
      <c r="AE192" s="158"/>
      <c r="AF192" s="158"/>
      <c r="AG192" s="159"/>
      <c r="AH192" s="159"/>
      <c r="AI192" s="159"/>
      <c r="AJ192" s="159"/>
      <c r="AK192" s="159"/>
      <c r="AL192" s="159"/>
      <c r="AM192" s="159"/>
      <c r="AN192" s="159"/>
      <c r="AO192" s="159"/>
      <c r="AP192" s="159"/>
      <c r="AQ192" s="159"/>
    </row>
    <row r="193" spans="1:43" s="151" customFormat="1" ht="13.5" hidden="1" customHeight="1" x14ac:dyDescent="0.25">
      <c r="A193" s="443">
        <f>'Tournament Info'!B74</f>
        <v>0</v>
      </c>
      <c r="B193" s="425"/>
      <c r="C193" s="426"/>
      <c r="D193" s="194" t="str">
        <f t="shared" ref="D193:O193" si="59">IF(D194="","",IF(D194&gt;0,"W",IF(D194&lt;0,"L",IF(D194=0,"T"))))</f>
        <v/>
      </c>
      <c r="E193" s="195" t="str">
        <f t="shared" si="59"/>
        <v/>
      </c>
      <c r="F193" s="196" t="str">
        <f t="shared" si="59"/>
        <v/>
      </c>
      <c r="G193" s="194" t="str">
        <f t="shared" si="59"/>
        <v/>
      </c>
      <c r="H193" s="195" t="str">
        <f t="shared" si="59"/>
        <v/>
      </c>
      <c r="I193" s="196" t="str">
        <f t="shared" si="59"/>
        <v/>
      </c>
      <c r="J193" s="194" t="str">
        <f t="shared" si="59"/>
        <v/>
      </c>
      <c r="K193" s="195" t="str">
        <f t="shared" si="59"/>
        <v/>
      </c>
      <c r="L193" s="196" t="str">
        <f t="shared" si="59"/>
        <v/>
      </c>
      <c r="M193" s="194" t="str">
        <f t="shared" si="59"/>
        <v/>
      </c>
      <c r="N193" s="195" t="str">
        <f t="shared" si="59"/>
        <v/>
      </c>
      <c r="O193" s="196" t="str">
        <f t="shared" si="59"/>
        <v/>
      </c>
      <c r="P193" s="197" t="s">
        <v>35</v>
      </c>
      <c r="Q193" s="198"/>
      <c r="R193" s="198" t="s">
        <v>36</v>
      </c>
      <c r="S193" s="198"/>
      <c r="T193" s="199" t="s">
        <v>31</v>
      </c>
      <c r="U193" s="127">
        <f>IFERROR(VLOOKUP('Tab Summary'!L192,TeamRecord,4,FALSE ),0)</f>
        <v>0</v>
      </c>
      <c r="V193" s="128">
        <f>IFERROR(VLOOKUP('Tab Summary'!O192,TeamRecord,4,FALSE ),0)</f>
        <v>0</v>
      </c>
      <c r="W193" s="129">
        <f>IFERROR(VLOOKUP('Tab Summary'!L192,TeamRecord,6,FALSE ),0)</f>
        <v>0</v>
      </c>
      <c r="X193" s="127">
        <f>IFERROR(VLOOKUP('Tab Summary'!O192,TeamRecord,6,FALSE ),0)</f>
        <v>0</v>
      </c>
      <c r="Y193" s="171">
        <f>IF(Y192&lt;&gt;0,(IF(COUNTIF('Ballot Entry'!$Z$3:$Z$35,'Tab Summary'!P194)=2,IF(P194=W192,IF(COUNTIF(D193:F193,"W")&gt;COUNTIF(D193:F193,"L"),1,0),0)+IF(P194=X192,IF(COUNTIF(G193:I193,"W")&gt;COUNTIF(G193:I193,"L"),1,0),0)+IF(P194=W193,IF(COUNTIF(J193:L193,"W")&gt;COUNTIF(J193:L193,"L"),1,0),0)+IF(P194=X193,IF(COUNTIF(M193:O193,"W")&gt;COUNTIF(M193:O193,"L"),1,0),0),0)),0)</f>
        <v>0</v>
      </c>
      <c r="Z193" s="259" t="str">
        <f>IF(Teams&gt;59,"Show", "Hide")</f>
        <v>Hide</v>
      </c>
      <c r="AA193" s="158"/>
      <c r="AB193" s="158"/>
      <c r="AC193" s="159"/>
      <c r="AD193" s="159"/>
      <c r="AE193" s="158"/>
      <c r="AF193" s="158"/>
      <c r="AG193" s="159"/>
      <c r="AH193" s="159"/>
      <c r="AI193" s="159"/>
      <c r="AJ193" s="159"/>
      <c r="AK193" s="159"/>
      <c r="AL193" s="159"/>
      <c r="AM193" s="159"/>
      <c r="AN193" s="159"/>
      <c r="AO193" s="159"/>
      <c r="AP193" s="159"/>
      <c r="AQ193" s="159"/>
    </row>
    <row r="194" spans="1:43" s="151" customFormat="1" ht="13.5" hidden="1" customHeight="1" thickBot="1" x14ac:dyDescent="0.3">
      <c r="A194" s="427"/>
      <c r="B194" s="428"/>
      <c r="C194" s="429"/>
      <c r="D194" s="200" t="str">
        <f>IFERROR(IF(D192="Π",VLOOKUP($A192, Round1P,3,FALSE),VLOOKUP($A192,Round1D,3,FALSE)),"")</f>
        <v/>
      </c>
      <c r="E194" s="201" t="str">
        <f>IFERROR(IF(Ballots=3,IF(D192="Π",VLOOKUP($A192, Round1P,5,FALSE),VLOOKUP($A192,Round1D,5,FALSE)),""),"")</f>
        <v/>
      </c>
      <c r="F194" s="202" t="str">
        <f>IFERROR(IF(D192="Π",VLOOKUP($A192, Round1P,4,FALSE),VLOOKUP($A192,Round1D,4,FALSE)),"")</f>
        <v/>
      </c>
      <c r="G194" s="200" t="str">
        <f>IFERROR(IF(G192="Π",VLOOKUP($A192, Round2P,3,FALSE),VLOOKUP($A192,Round2D,3,FALSE)),"")</f>
        <v/>
      </c>
      <c r="H194" s="201" t="str">
        <f>IFERROR(IF(Ballots=3,IF(G192="Π",VLOOKUP($A192, Round2P,5,FALSE),VLOOKUP($A192,Round2D,5,FALSE)),""),"")</f>
        <v/>
      </c>
      <c r="I194" s="202" t="str">
        <f>IFERROR(IF(G192="Π",VLOOKUP($A192, Round2P,4,FALSE),VLOOKUP($A192,Round2D,4,FALSE)),"")</f>
        <v/>
      </c>
      <c r="J194" s="200" t="str">
        <f>IFERROR(IF(J192="Π",VLOOKUP($A192, Round3P,3,FALSE),VLOOKUP($A192,Round3D,3,FALSE)),"")</f>
        <v/>
      </c>
      <c r="K194" s="201" t="str">
        <f>IFERROR(IF(Ballots=3,IF(J192="Π",VLOOKUP($A192, Round3P,5,FALSE),VLOOKUP($A192,Round3D,5,FALSE)),""),"")</f>
        <v/>
      </c>
      <c r="L194" s="202" t="str">
        <f>IFERROR(IF(J192="Π",VLOOKUP($A192, Round3P,4,FALSE),VLOOKUP($A192,Round3D,4,FALSE)),"")</f>
        <v/>
      </c>
      <c r="M194" s="200" t="str">
        <f>IFERROR(IF(M192="Π",VLOOKUP($A192, Round4P,3,FALSE),VLOOKUP($A192,Round4D,3,FALSE)),"")</f>
        <v/>
      </c>
      <c r="N194" s="201" t="str">
        <f>IFERROR(IF(Ballots=3,IF(M192="Π",VLOOKUP($A192, Round4P,5,FALSE),VLOOKUP($A192,Round4D,5,FALSE)),""),"")</f>
        <v/>
      </c>
      <c r="O194" s="202" t="str">
        <f>IFERROR(IF(M192="Π",VLOOKUP($A192, Round4P,4,FALSE),VLOOKUP($A192,Round4D,4,FALSE)),"")</f>
        <v/>
      </c>
      <c r="P194" s="203">
        <f>'Tab Summary'!U192+'Tab Summary'!V192+'Tab Summary'!U193+'Tab Summary'!V193</f>
        <v>0</v>
      </c>
      <c r="Q194" s="204"/>
      <c r="R194" s="205">
        <f>SUM('Tab Summary'!W192:X193)</f>
        <v>0</v>
      </c>
      <c r="S194" s="206"/>
      <c r="T194" s="207">
        <f>SUM(D194:O194)</f>
        <v>0</v>
      </c>
      <c r="U194" s="130" t="s">
        <v>67</v>
      </c>
      <c r="V194" s="131">
        <f>IF(D192="Π",COUNTIF(D193:F193,"W"),0)+IF(G192="Π",COUNTIF(G193:I193,"W"),0)+IF(J192="Π",COUNTIF(J193:L193,"W"),0)+IF(M192="Π",COUNTIF(M193:O193,"W"),0)</f>
        <v>0</v>
      </c>
      <c r="W194" s="132" t="s">
        <v>68</v>
      </c>
      <c r="X194" s="130">
        <f>IF(D192="Δ",COUNTIF(D193:F193,"W"),0)+IF(G192="Δ",COUNTIF(G193:I193,"W"),0)+IF(J192="Δ",COUNTIF(J193:L193,"W"),0)+IF(M192="Δ",COUNTIF(M193:O193,"W"),0)</f>
        <v>0</v>
      </c>
      <c r="Y194" s="171"/>
      <c r="Z194" s="259" t="str">
        <f>IF(Teams&gt;59,"Show", "Hide")</f>
        <v>Hide</v>
      </c>
      <c r="AA194" s="158"/>
      <c r="AB194" s="158"/>
      <c r="AC194" s="159"/>
      <c r="AD194" s="159"/>
      <c r="AE194" s="158"/>
      <c r="AF194" s="158"/>
      <c r="AG194" s="159"/>
      <c r="AH194" s="159"/>
      <c r="AI194" s="159"/>
      <c r="AJ194" s="159"/>
      <c r="AK194" s="159"/>
      <c r="AL194" s="159"/>
      <c r="AM194" s="159"/>
      <c r="AN194" s="159"/>
      <c r="AO194" s="159"/>
      <c r="AP194" s="159"/>
      <c r="AQ194" s="159"/>
    </row>
    <row r="195" spans="1:43" s="151" customFormat="1" ht="13.5" hidden="1" customHeight="1" x14ac:dyDescent="0.25">
      <c r="A195" s="430">
        <f>'Tournament Info'!C75</f>
        <v>0</v>
      </c>
      <c r="B195" s="431"/>
      <c r="C195" s="432"/>
      <c r="D195" s="163" t="str">
        <f>IF(COUNTIF('Ballot Entry'!$M$3:$M$37,$A195)=1,"Π",IF(COUNTIF('Ballot Entry'!$N$3:$N$37,$A195)=1,"Δ",""))</f>
        <v/>
      </c>
      <c r="E195" s="164" t="s">
        <v>30</v>
      </c>
      <c r="F195" s="165" t="str">
        <f>IFERROR(IF(D195="Π",VLOOKUP($A195, Round1P,2,FALSE),VLOOKUP($A195,Round1D,2,FALSE)),"")</f>
        <v/>
      </c>
      <c r="G195" s="163" t="str">
        <f>IF(COUNTIF('Ballot Entry'!$M$109:$M$143,$A195)=1,"Π",IF(COUNTIF('Ballot Entry'!$N$109:$N$143,$A195)=1,"Δ",""))</f>
        <v/>
      </c>
      <c r="H195" s="164" t="s">
        <v>30</v>
      </c>
      <c r="I195" s="165" t="str">
        <f>IFERROR(IF(G195="Π",VLOOKUP($A195, Round2P,2,FALSE),VLOOKUP($A195,Round2D,2,FALSE)),"")</f>
        <v/>
      </c>
      <c r="J195" s="163" t="str">
        <f>IF(COUNTIF('Ballot Entry'!$M$215:$M$249,$A195)=1,"Π",IF(COUNTIF('Ballot Entry'!$N$215:$N$249,$A195)=1,"Δ",""))</f>
        <v/>
      </c>
      <c r="K195" s="164" t="s">
        <v>30</v>
      </c>
      <c r="L195" s="165" t="str">
        <f>IFERROR(IF(J195="Π",VLOOKUP($A195, Round3P,2,FALSE),VLOOKUP($A195,Round3D,2,FALSE)),"")</f>
        <v/>
      </c>
      <c r="M195" s="163" t="str">
        <f>IF(COUNTIF('Ballot Entry'!$M$321:$M$355,$A195)=1,"Π",IF(COUNTIF('Ballot Entry'!$N$321:$N$355,$A195)=1,"Δ",""))</f>
        <v/>
      </c>
      <c r="N195" s="164" t="s">
        <v>30</v>
      </c>
      <c r="O195" s="165" t="str">
        <f>IFERROR(IF(M195="Π",VLOOKUP($A195, Round4P,2,FALSE),VLOOKUP($A195,Round4D,2,FALSE)),"")</f>
        <v/>
      </c>
      <c r="P195" s="166">
        <f>COUNTIF(D196:O196,"W")</f>
        <v>0</v>
      </c>
      <c r="Q195" s="167" t="s">
        <v>34</v>
      </c>
      <c r="R195" s="168">
        <f>COUNTIF(D196:O196,"L")</f>
        <v>0</v>
      </c>
      <c r="S195" s="169" t="s">
        <v>34</v>
      </c>
      <c r="T195" s="170">
        <f>COUNTIF(D196:O196,"T")</f>
        <v>0</v>
      </c>
      <c r="U195" s="124">
        <f>IFERROR(VLOOKUP('Tab Summary'!F195,TeamRecord,4,FALSE ),0)</f>
        <v>0</v>
      </c>
      <c r="V195" s="125">
        <f>IFERROR(VLOOKUP('Tab Summary'!I195,TeamRecord,4,FALSE ),0)</f>
        <v>0</v>
      </c>
      <c r="W195" s="126">
        <f>IFERROR(VLOOKUP('Tab Summary'!F195,TeamRecord,6,FALSE ),0)</f>
        <v>0</v>
      </c>
      <c r="X195" s="124">
        <f>IFERROR(VLOOKUP('Tab Summary'!I195,TeamRecord,6,FALSE ),0)</f>
        <v>0</v>
      </c>
      <c r="Y195" s="171">
        <f>IF(COUNTIF('Ballot Entry'!$X$3:$X$221,(P195+(T195/2)))=2,IF((P195+(T195/2))=U195,IF(COUNTIF(D196:F196,"W")&gt;COUNTIF(D196:F196,"L"),F195,0),0)+IF((P195+(T195/2))=V195,IF(COUNTIF(G196:I196,"W")&gt;COUNTIF(G196:I196,"L"),I195,0),0)+IF((P195+(T195/2))=U196,IF(COUNTIF(J196:L196,"W")&gt;COUNTIF(J196:L196,"L"),L195,0),0)+IF((P195+(T195/2))=V196,IF(COUNTIF(M196:O196,"W")&gt;COUNTIF(M196:O196,"L"),O195,0),0),0)</f>
        <v>0</v>
      </c>
      <c r="Z195" s="259" t="str">
        <f>IF(Teams&gt;60,"Show", "Hide")</f>
        <v>Hide</v>
      </c>
      <c r="AA195" s="158"/>
      <c r="AB195" s="158"/>
      <c r="AC195" s="159"/>
      <c r="AD195" s="159"/>
      <c r="AE195" s="158"/>
      <c r="AF195" s="158"/>
      <c r="AG195" s="159"/>
      <c r="AH195" s="159"/>
      <c r="AI195" s="159"/>
      <c r="AJ195" s="159"/>
      <c r="AK195" s="159"/>
      <c r="AL195" s="159"/>
      <c r="AM195" s="159"/>
      <c r="AN195" s="159"/>
      <c r="AO195" s="159"/>
      <c r="AP195" s="159"/>
      <c r="AQ195" s="159"/>
    </row>
    <row r="196" spans="1:43" s="151" customFormat="1" ht="13.5" hidden="1" customHeight="1" x14ac:dyDescent="0.25">
      <c r="A196" s="442">
        <f>'Tournament Info'!B75</f>
        <v>0</v>
      </c>
      <c r="B196" s="434"/>
      <c r="C196" s="435"/>
      <c r="D196" s="172" t="str">
        <f t="shared" ref="D196:O196" si="60">IF(D197="","",IF(D197&gt;0,"W",IF(D197&lt;0,"L",IF(D197=0,"T"))))</f>
        <v/>
      </c>
      <c r="E196" s="173" t="str">
        <f t="shared" si="60"/>
        <v/>
      </c>
      <c r="F196" s="174" t="str">
        <f t="shared" si="60"/>
        <v/>
      </c>
      <c r="G196" s="172" t="str">
        <f t="shared" si="60"/>
        <v/>
      </c>
      <c r="H196" s="173" t="str">
        <f t="shared" si="60"/>
        <v/>
      </c>
      <c r="I196" s="174" t="str">
        <f t="shared" si="60"/>
        <v/>
      </c>
      <c r="J196" s="172" t="str">
        <f t="shared" si="60"/>
        <v/>
      </c>
      <c r="K196" s="173" t="str">
        <f t="shared" si="60"/>
        <v/>
      </c>
      <c r="L196" s="174" t="str">
        <f t="shared" si="60"/>
        <v/>
      </c>
      <c r="M196" s="172" t="str">
        <f t="shared" si="60"/>
        <v/>
      </c>
      <c r="N196" s="173" t="str">
        <f t="shared" si="60"/>
        <v/>
      </c>
      <c r="O196" s="174" t="str">
        <f t="shared" si="60"/>
        <v/>
      </c>
      <c r="P196" s="175" t="s">
        <v>35</v>
      </c>
      <c r="Q196" s="176"/>
      <c r="R196" s="176" t="s">
        <v>36</v>
      </c>
      <c r="S196" s="176"/>
      <c r="T196" s="177" t="s">
        <v>31</v>
      </c>
      <c r="U196" s="127">
        <f>IFERROR(VLOOKUP('Tab Summary'!L195,TeamRecord,4,FALSE ),0)</f>
        <v>0</v>
      </c>
      <c r="V196" s="128">
        <f>IFERROR(VLOOKUP('Tab Summary'!O195,TeamRecord,4,FALSE ),0)</f>
        <v>0</v>
      </c>
      <c r="W196" s="129">
        <f>IFERROR(VLOOKUP('Tab Summary'!L195,TeamRecord,6,FALSE ),0)</f>
        <v>0</v>
      </c>
      <c r="X196" s="127">
        <f>IFERROR(VLOOKUP('Tab Summary'!O195,TeamRecord,6,FALSE ),0)</f>
        <v>0</v>
      </c>
      <c r="Y196" s="171">
        <f>IF(Y195&lt;&gt;0,(IF(COUNTIF('Ballot Entry'!$Z$3:$Z$35,'Tab Summary'!P197)=2,IF(P197=W195,IF(COUNTIF(D196:F196,"W")&gt;COUNTIF(D196:F196,"L"),1,0),0)+IF(P197=X195,IF(COUNTIF(G196:I196,"W")&gt;COUNTIF(G196:I196,"L"),1,0),0)+IF(P197=W196,IF(COUNTIF(J196:L196,"W")&gt;COUNTIF(J196:L196,"L"),1,0),0)+IF(P197=X196,IF(COUNTIF(M196:O196,"W")&gt;COUNTIF(M196:O196,"L"),1,0),0),0)),0)</f>
        <v>0</v>
      </c>
      <c r="Z196" s="259" t="str">
        <f>IF(Teams&gt;60,"Show", "Hide")</f>
        <v>Hide</v>
      </c>
      <c r="AA196" s="158"/>
      <c r="AB196" s="158"/>
      <c r="AC196" s="159"/>
      <c r="AD196" s="159"/>
      <c r="AE196" s="158"/>
      <c r="AF196" s="158"/>
      <c r="AG196" s="159"/>
      <c r="AH196" s="159"/>
      <c r="AI196" s="159"/>
      <c r="AJ196" s="159"/>
      <c r="AK196" s="159"/>
      <c r="AL196" s="159"/>
      <c r="AM196" s="159"/>
      <c r="AN196" s="159"/>
      <c r="AO196" s="159"/>
      <c r="AP196" s="159"/>
      <c r="AQ196" s="159"/>
    </row>
    <row r="197" spans="1:43" s="151" customFormat="1" ht="13.5" hidden="1" customHeight="1" thickBot="1" x14ac:dyDescent="0.3">
      <c r="A197" s="436"/>
      <c r="B197" s="437"/>
      <c r="C197" s="438"/>
      <c r="D197" s="178" t="str">
        <f>IFERROR(IF(D195="Π",VLOOKUP($A195, Round1P,3,FALSE),VLOOKUP($A195,Round1D,3,FALSE)),"")</f>
        <v/>
      </c>
      <c r="E197" s="179" t="str">
        <f>IFERROR(IF(Ballots=3,IF(D195="Π",VLOOKUP($A195, Round1P,5,FALSE),VLOOKUP($A195,Round1D,5,FALSE)),""),"")</f>
        <v/>
      </c>
      <c r="F197" s="180" t="str">
        <f>IFERROR(IF(D195="Π",VLOOKUP($A195, Round1P,4,FALSE),VLOOKUP($A195,Round1D,4,FALSE)),"")</f>
        <v/>
      </c>
      <c r="G197" s="178" t="str">
        <f>IFERROR(IF(G195="Π",VLOOKUP($A195, Round2P,3,FALSE),VLOOKUP($A195,Round2D,3,FALSE)),"")</f>
        <v/>
      </c>
      <c r="H197" s="179" t="str">
        <f>IFERROR(IF(Ballots=3,IF(G195="Π",VLOOKUP($A195, Round2P,5,FALSE),VLOOKUP($A195,Round2D,5,FALSE)),""),"")</f>
        <v/>
      </c>
      <c r="I197" s="180" t="str">
        <f>IFERROR(IF(G195="Π",VLOOKUP($A195, Round2P,4,FALSE),VLOOKUP($A195,Round2D,4,FALSE)),"")</f>
        <v/>
      </c>
      <c r="J197" s="178" t="str">
        <f>IFERROR(IF(J195="Π",VLOOKUP($A195, Round3P,3,FALSE),VLOOKUP($A195,Round3D,3,FALSE)),"")</f>
        <v/>
      </c>
      <c r="K197" s="179" t="str">
        <f>IFERROR(IF(Ballots=3,IF(J195="Π",VLOOKUP($A195, Round3P,5,FALSE),VLOOKUP($A195,Round3D,5,FALSE)),""),"")</f>
        <v/>
      </c>
      <c r="L197" s="180" t="str">
        <f>IFERROR(IF(J195="Π",VLOOKUP($A195, Round3P,4,FALSE),VLOOKUP($A195,Round3D,4,FALSE)),"")</f>
        <v/>
      </c>
      <c r="M197" s="178" t="str">
        <f>IFERROR(IF(M195="Π",VLOOKUP($A195, Round4P,3,FALSE),VLOOKUP($A195,Round4D,3,FALSE)),"")</f>
        <v/>
      </c>
      <c r="N197" s="179" t="str">
        <f>IFERROR(IF(Ballots=3,IF(M195="Π",VLOOKUP($A195, Round4P,5,FALSE),VLOOKUP($A195,Round4D,5,FALSE)),""),"")</f>
        <v/>
      </c>
      <c r="O197" s="180" t="str">
        <f>IFERROR(IF(M195="Π",VLOOKUP($A195, Round4P,4,FALSE),VLOOKUP($A195,Round4D,4,FALSE)),"")</f>
        <v/>
      </c>
      <c r="P197" s="181">
        <f>'Tab Summary'!U195+'Tab Summary'!V195+'Tab Summary'!U196+'Tab Summary'!V196</f>
        <v>0</v>
      </c>
      <c r="Q197" s="182"/>
      <c r="R197" s="183">
        <f>SUM('Tab Summary'!W195:X196)</f>
        <v>0</v>
      </c>
      <c r="S197" s="184"/>
      <c r="T197" s="185">
        <f>SUM(D197:O197)</f>
        <v>0</v>
      </c>
      <c r="U197" s="130" t="s">
        <v>67</v>
      </c>
      <c r="V197" s="131">
        <f>IF(D195="Π",COUNTIF(D196:F196,"W"),0)+IF(G195="Π",COUNTIF(G196:I196,"W"),0)+IF(J195="Π",COUNTIF(J196:L196,"W"),0)+IF(M195="Π",COUNTIF(M196:O196,"W"),0)</f>
        <v>0</v>
      </c>
      <c r="W197" s="132" t="s">
        <v>68</v>
      </c>
      <c r="X197" s="130">
        <f>IF(D195="Δ",COUNTIF(D196:F196,"W"),0)+IF(G195="Δ",COUNTIF(G196:I196,"W"),0)+IF(J195="Δ",COUNTIF(J196:L196,"W"),0)+IF(M195="Δ",COUNTIF(M196:O196,"W"),0)</f>
        <v>0</v>
      </c>
      <c r="Y197" s="171"/>
      <c r="Z197" s="259" t="str">
        <f>IF(Teams&gt;60,"Show", "Hide")</f>
        <v>Hide</v>
      </c>
      <c r="AA197" s="158"/>
      <c r="AB197" s="158"/>
      <c r="AC197" s="159"/>
      <c r="AD197" s="159"/>
      <c r="AE197" s="158"/>
      <c r="AF197" s="158"/>
      <c r="AG197" s="159"/>
      <c r="AH197" s="159"/>
      <c r="AI197" s="159"/>
      <c r="AJ197" s="159"/>
      <c r="AK197" s="159"/>
      <c r="AL197" s="159"/>
      <c r="AM197" s="159"/>
      <c r="AN197" s="159"/>
      <c r="AO197" s="159"/>
      <c r="AP197" s="159"/>
      <c r="AQ197" s="159"/>
    </row>
    <row r="198" spans="1:43" s="151" customFormat="1" ht="13.5" hidden="1" customHeight="1" x14ac:dyDescent="0.25">
      <c r="A198" s="439">
        <f>'Tournament Info'!C76</f>
        <v>0</v>
      </c>
      <c r="B198" s="440"/>
      <c r="C198" s="441"/>
      <c r="D198" s="186" t="str">
        <f>IF(COUNTIF('Ballot Entry'!$M$3:$M$37,$A198)=1,"Π",IF(COUNTIF('Ballot Entry'!$N$3:$N$37,$A198)=1,"Δ",""))</f>
        <v/>
      </c>
      <c r="E198" s="187" t="s">
        <v>30</v>
      </c>
      <c r="F198" s="188" t="str">
        <f>IFERROR(IF(D198="Π",VLOOKUP($A198, Round1P,2,FALSE),VLOOKUP($A198,Round1D,2,FALSE)),"")</f>
        <v/>
      </c>
      <c r="G198" s="186" t="str">
        <f>IF(COUNTIF('Ballot Entry'!$M$109:$M$143,$A198)=1,"Π",IF(COUNTIF('Ballot Entry'!$N$109:$N$143,$A198)=1,"Δ",""))</f>
        <v/>
      </c>
      <c r="H198" s="187" t="s">
        <v>30</v>
      </c>
      <c r="I198" s="188" t="str">
        <f>IFERROR(IF(G198="Π",VLOOKUP($A198, Round2P,2,FALSE),VLOOKUP($A198,Round2D,2,FALSE)),"")</f>
        <v/>
      </c>
      <c r="J198" s="186" t="str">
        <f>IF(COUNTIF('Ballot Entry'!$M$215:$M$249,$A198)=1,"Π",IF(COUNTIF('Ballot Entry'!$N$215:$N$249,$A198)=1,"Δ",""))</f>
        <v/>
      </c>
      <c r="K198" s="187" t="s">
        <v>30</v>
      </c>
      <c r="L198" s="188" t="str">
        <f>IFERROR(IF(J198="Π",VLOOKUP($A198, Round3P,2,FALSE),VLOOKUP($A198,Round3D,2,FALSE)),"")</f>
        <v/>
      </c>
      <c r="M198" s="186" t="str">
        <f>IF(COUNTIF('Ballot Entry'!$M$321:$M$355,$A198)=1,"Π",IF(COUNTIF('Ballot Entry'!$N$321:$N$355,$A198)=1,"Δ",""))</f>
        <v/>
      </c>
      <c r="N198" s="187" t="s">
        <v>30</v>
      </c>
      <c r="O198" s="188" t="str">
        <f>IFERROR(IF(M198="Π",VLOOKUP($A198, Round4P,2,FALSE),VLOOKUP($A198,Round4D,2,FALSE)),"")</f>
        <v/>
      </c>
      <c r="P198" s="189">
        <f>COUNTIF(D199:O199,"W")</f>
        <v>0</v>
      </c>
      <c r="Q198" s="190" t="s">
        <v>34</v>
      </c>
      <c r="R198" s="191">
        <f>COUNTIF(D199:O199,"L")</f>
        <v>0</v>
      </c>
      <c r="S198" s="192" t="s">
        <v>34</v>
      </c>
      <c r="T198" s="193">
        <f>COUNTIF(D199:O199,"T")</f>
        <v>0</v>
      </c>
      <c r="U198" s="124">
        <f>IFERROR(VLOOKUP('Tab Summary'!F198,TeamRecord,4,FALSE ),0)</f>
        <v>0</v>
      </c>
      <c r="V198" s="125">
        <f>IFERROR(VLOOKUP('Tab Summary'!I198,TeamRecord,4,FALSE ),0)</f>
        <v>0</v>
      </c>
      <c r="W198" s="126">
        <f>IFERROR(VLOOKUP('Tab Summary'!F198,TeamRecord,6,FALSE ),0)</f>
        <v>0</v>
      </c>
      <c r="X198" s="124">
        <f>IFERROR(VLOOKUP('Tab Summary'!I198,TeamRecord,6,FALSE ),0)</f>
        <v>0</v>
      </c>
      <c r="Y198" s="171">
        <f>IF(COUNTIF('Ballot Entry'!$X$3:$X$221,(P198+(T198/2)))=2,IF((P198+(T198/2))=U198,IF(COUNTIF(D199:F199,"W")&gt;COUNTIF(D199:F199,"L"),F198,0),0)+IF((P198+(T198/2))=V198,IF(COUNTIF(G199:I199,"W")&gt;COUNTIF(G199:I199,"L"),I198,0),0)+IF((P198+(T198/2))=U199,IF(COUNTIF(J199:L199,"W")&gt;COUNTIF(J199:L199,"L"),L198,0),0)+IF((P198+(T198/2))=V199,IF(COUNTIF(M199:O199,"W")&gt;COUNTIF(M199:O199,"L"),O198,0),0),0)</f>
        <v>0</v>
      </c>
      <c r="Z198" s="259" t="str">
        <f>IF(Teams&gt;61,"Show", "Hide")</f>
        <v>Hide</v>
      </c>
      <c r="AA198" s="158"/>
      <c r="AB198" s="158"/>
      <c r="AC198" s="159"/>
      <c r="AD198" s="159"/>
      <c r="AE198" s="158"/>
      <c r="AF198" s="158"/>
      <c r="AG198" s="159"/>
      <c r="AH198" s="159"/>
      <c r="AI198" s="159"/>
      <c r="AJ198" s="159"/>
      <c r="AK198" s="159"/>
      <c r="AL198" s="159"/>
      <c r="AM198" s="159"/>
      <c r="AN198" s="159"/>
      <c r="AO198" s="159"/>
      <c r="AP198" s="159"/>
      <c r="AQ198" s="159"/>
    </row>
    <row r="199" spans="1:43" s="151" customFormat="1" ht="13.5" hidden="1" customHeight="1" x14ac:dyDescent="0.25">
      <c r="A199" s="443">
        <f>'Tournament Info'!B76</f>
        <v>0</v>
      </c>
      <c r="B199" s="425"/>
      <c r="C199" s="426"/>
      <c r="D199" s="194" t="str">
        <f t="shared" ref="D199:O199" si="61">IF(D200="","",IF(D200&gt;0,"W",IF(D200&lt;0,"L",IF(D200=0,"T"))))</f>
        <v/>
      </c>
      <c r="E199" s="195" t="str">
        <f t="shared" si="61"/>
        <v/>
      </c>
      <c r="F199" s="196" t="str">
        <f t="shared" si="61"/>
        <v/>
      </c>
      <c r="G199" s="194" t="str">
        <f t="shared" si="61"/>
        <v/>
      </c>
      <c r="H199" s="195" t="str">
        <f t="shared" si="61"/>
        <v/>
      </c>
      <c r="I199" s="196" t="str">
        <f t="shared" si="61"/>
        <v/>
      </c>
      <c r="J199" s="194" t="str">
        <f t="shared" si="61"/>
        <v/>
      </c>
      <c r="K199" s="195" t="str">
        <f t="shared" si="61"/>
        <v/>
      </c>
      <c r="L199" s="196" t="str">
        <f t="shared" si="61"/>
        <v/>
      </c>
      <c r="M199" s="194" t="str">
        <f t="shared" si="61"/>
        <v/>
      </c>
      <c r="N199" s="195" t="str">
        <f t="shared" si="61"/>
        <v/>
      </c>
      <c r="O199" s="196" t="str">
        <f t="shared" si="61"/>
        <v/>
      </c>
      <c r="P199" s="197" t="s">
        <v>35</v>
      </c>
      <c r="Q199" s="198"/>
      <c r="R199" s="198" t="s">
        <v>36</v>
      </c>
      <c r="S199" s="198"/>
      <c r="T199" s="199" t="s">
        <v>31</v>
      </c>
      <c r="U199" s="127">
        <f>IFERROR(VLOOKUP('Tab Summary'!L198,TeamRecord,4,FALSE ),0)</f>
        <v>0</v>
      </c>
      <c r="V199" s="128">
        <f>IFERROR(VLOOKUP('Tab Summary'!O198,TeamRecord,4,FALSE ),0)</f>
        <v>0</v>
      </c>
      <c r="W199" s="129">
        <f>IFERROR(VLOOKUP('Tab Summary'!L198,TeamRecord,6,FALSE ),0)</f>
        <v>0</v>
      </c>
      <c r="X199" s="127">
        <f>IFERROR(VLOOKUP('Tab Summary'!O198,TeamRecord,6,FALSE ),0)</f>
        <v>0</v>
      </c>
      <c r="Y199" s="171">
        <f>IF(Y198&lt;&gt;0,(IF(COUNTIF('Ballot Entry'!$Z$3:$Z$35,'Tab Summary'!P200)=2,IF(P200=W198,IF(COUNTIF(D199:F199,"W")&gt;COUNTIF(D199:F199,"L"),1,0),0)+IF(P200=X198,IF(COUNTIF(G199:I199,"W")&gt;COUNTIF(G199:I199,"L"),1,0),0)+IF(P200=W199,IF(COUNTIF(J199:L199,"W")&gt;COUNTIF(J199:L199,"L"),1,0),0)+IF(P200=X199,IF(COUNTIF(M199:O199,"W")&gt;COUNTIF(M199:O199,"L"),1,0),0),0)),0)</f>
        <v>0</v>
      </c>
      <c r="Z199" s="259" t="str">
        <f>IF(Teams&gt;61,"Show", "Hide")</f>
        <v>Hide</v>
      </c>
      <c r="AA199" s="158"/>
      <c r="AB199" s="158"/>
      <c r="AC199" s="159"/>
      <c r="AD199" s="159"/>
      <c r="AE199" s="158"/>
      <c r="AF199" s="158"/>
      <c r="AG199" s="159"/>
      <c r="AH199" s="159"/>
      <c r="AI199" s="159"/>
      <c r="AJ199" s="159"/>
      <c r="AK199" s="159"/>
      <c r="AL199" s="159"/>
      <c r="AM199" s="159"/>
      <c r="AN199" s="159"/>
      <c r="AO199" s="159"/>
      <c r="AP199" s="159"/>
      <c r="AQ199" s="159"/>
    </row>
    <row r="200" spans="1:43" s="151" customFormat="1" ht="13.5" hidden="1" customHeight="1" thickBot="1" x14ac:dyDescent="0.3">
      <c r="A200" s="427"/>
      <c r="B200" s="428"/>
      <c r="C200" s="429"/>
      <c r="D200" s="200" t="str">
        <f>IFERROR(IF(D198="Π",VLOOKUP($A198, Round1P,3,FALSE),VLOOKUP($A198,Round1D,3,FALSE)),"")</f>
        <v/>
      </c>
      <c r="E200" s="201" t="str">
        <f>IFERROR(IF(Ballots=3,IF(D198="Π",VLOOKUP($A198, Round1P,5,FALSE),VLOOKUP($A198,Round1D,5,FALSE)),""),"")</f>
        <v/>
      </c>
      <c r="F200" s="202" t="str">
        <f>IFERROR(IF(D198="Π",VLOOKUP($A198, Round1P,4,FALSE),VLOOKUP($A198,Round1D,4,FALSE)),"")</f>
        <v/>
      </c>
      <c r="G200" s="200" t="str">
        <f>IFERROR(IF(G198="Π",VLOOKUP($A198, Round2P,3,FALSE),VLOOKUP($A198,Round2D,3,FALSE)),"")</f>
        <v/>
      </c>
      <c r="H200" s="201" t="str">
        <f>IFERROR(IF(Ballots=3,IF(G198="Π",VLOOKUP($A198, Round2P,5,FALSE),VLOOKUP($A198,Round2D,5,FALSE)),""),"")</f>
        <v/>
      </c>
      <c r="I200" s="202" t="str">
        <f>IFERROR(IF(G198="Π",VLOOKUP($A198, Round2P,4,FALSE),VLOOKUP($A198,Round2D,4,FALSE)),"")</f>
        <v/>
      </c>
      <c r="J200" s="200" t="str">
        <f>IFERROR(IF(J198="Π",VLOOKUP($A198, Round3P,3,FALSE),VLOOKUP($A198,Round3D,3,FALSE)),"")</f>
        <v/>
      </c>
      <c r="K200" s="201" t="str">
        <f>IFERROR(IF(Ballots=3,IF(J198="Π",VLOOKUP($A198, Round3P,5,FALSE),VLOOKUP($A198,Round3D,5,FALSE)),""),"")</f>
        <v/>
      </c>
      <c r="L200" s="202" t="str">
        <f>IFERROR(IF(J198="Π",VLOOKUP($A198, Round3P,4,FALSE),VLOOKUP($A198,Round3D,4,FALSE)),"")</f>
        <v/>
      </c>
      <c r="M200" s="200" t="str">
        <f>IFERROR(IF(M198="Π",VLOOKUP($A198, Round4P,3,FALSE),VLOOKUP($A198,Round4D,3,FALSE)),"")</f>
        <v/>
      </c>
      <c r="N200" s="201" t="str">
        <f>IFERROR(IF(Ballots=3,IF(M198="Π",VLOOKUP($A198, Round4P,5,FALSE),VLOOKUP($A198,Round4D,5,FALSE)),""),"")</f>
        <v/>
      </c>
      <c r="O200" s="202" t="str">
        <f>IFERROR(IF(M198="Π",VLOOKUP($A198, Round4P,4,FALSE),VLOOKUP($A198,Round4D,4,FALSE)),"")</f>
        <v/>
      </c>
      <c r="P200" s="203">
        <f>'Tab Summary'!U198+'Tab Summary'!V198+'Tab Summary'!U199+'Tab Summary'!V199</f>
        <v>0</v>
      </c>
      <c r="Q200" s="204"/>
      <c r="R200" s="205">
        <f>SUM('Tab Summary'!W198:X199)</f>
        <v>0</v>
      </c>
      <c r="S200" s="206"/>
      <c r="T200" s="207">
        <f>SUM(D200:O200)</f>
        <v>0</v>
      </c>
      <c r="U200" s="130" t="s">
        <v>67</v>
      </c>
      <c r="V200" s="131">
        <f>IF(D198="Π",COUNTIF(D199:F199,"W"),0)+IF(G198="Π",COUNTIF(G199:I199,"W"),0)+IF(J198="Π",COUNTIF(J199:L199,"W"),0)+IF(M198="Π",COUNTIF(M199:O199,"W"),0)</f>
        <v>0</v>
      </c>
      <c r="W200" s="132" t="s">
        <v>68</v>
      </c>
      <c r="X200" s="130">
        <f>IF(D198="Δ",COUNTIF(D199:F199,"W"),0)+IF(G198="Δ",COUNTIF(G199:I199,"W"),0)+IF(J198="Δ",COUNTIF(J199:L199,"W"),0)+IF(M198="Δ",COUNTIF(M199:O199,"W"),0)</f>
        <v>0</v>
      </c>
      <c r="Y200" s="171"/>
      <c r="Z200" s="259" t="str">
        <f>IF(Teams&gt;61,"Show", "Hide")</f>
        <v>Hide</v>
      </c>
      <c r="AA200" s="158"/>
      <c r="AB200" s="158"/>
      <c r="AC200" s="159"/>
      <c r="AD200" s="159"/>
      <c r="AE200" s="158"/>
      <c r="AF200" s="158"/>
      <c r="AG200" s="159"/>
      <c r="AH200" s="159"/>
      <c r="AI200" s="159"/>
      <c r="AJ200" s="159"/>
      <c r="AK200" s="159"/>
      <c r="AL200" s="159"/>
      <c r="AM200" s="159"/>
      <c r="AN200" s="159"/>
      <c r="AO200" s="159"/>
      <c r="AP200" s="159"/>
      <c r="AQ200" s="159"/>
    </row>
    <row r="201" spans="1:43" s="151" customFormat="1" ht="13.5" hidden="1" customHeight="1" x14ac:dyDescent="0.25">
      <c r="A201" s="358"/>
      <c r="B201" s="358"/>
      <c r="C201" s="358"/>
      <c r="D201" s="403"/>
      <c r="E201" s="404"/>
      <c r="F201" s="405"/>
      <c r="G201" s="403"/>
      <c r="H201" s="404"/>
      <c r="I201" s="405"/>
      <c r="J201" s="403"/>
      <c r="K201" s="404"/>
      <c r="L201" s="405"/>
      <c r="M201" s="403"/>
      <c r="N201" s="404"/>
      <c r="O201" s="405"/>
      <c r="P201" s="406"/>
      <c r="Q201" s="407"/>
      <c r="R201" s="408"/>
      <c r="S201" s="409"/>
      <c r="T201" s="410"/>
      <c r="U201" s="135"/>
      <c r="V201" s="135"/>
      <c r="W201" s="135"/>
      <c r="X201" s="135"/>
      <c r="Y201" s="171"/>
      <c r="Z201" s="259"/>
      <c r="AA201" s="158"/>
      <c r="AB201" s="158"/>
      <c r="AC201" s="159"/>
      <c r="AD201" s="159"/>
      <c r="AE201" s="158"/>
      <c r="AF201" s="158"/>
      <c r="AG201" s="159"/>
      <c r="AH201" s="159"/>
      <c r="AI201" s="159"/>
      <c r="AJ201" s="159"/>
      <c r="AK201" s="159"/>
      <c r="AL201" s="159"/>
      <c r="AM201" s="159"/>
      <c r="AN201" s="159"/>
      <c r="AO201" s="159"/>
      <c r="AP201" s="159"/>
      <c r="AQ201" s="159"/>
    </row>
    <row r="202" spans="1:43" s="151" customFormat="1" ht="13.5" hidden="1" customHeight="1" thickBot="1" x14ac:dyDescent="0.2">
      <c r="P202" s="152"/>
      <c r="Q202" s="154"/>
      <c r="R202" s="154"/>
      <c r="S202" s="154"/>
      <c r="T202" s="154"/>
      <c r="U202" s="155"/>
      <c r="V202" s="155"/>
      <c r="W202" s="155"/>
      <c r="X202" s="155"/>
      <c r="Y202" s="171"/>
      <c r="Z202" s="259" t="str">
        <f>IF(Teams&gt;62,"Show", "Hide")</f>
        <v>Hide</v>
      </c>
      <c r="AA202" s="158"/>
      <c r="AB202" s="158"/>
      <c r="AC202" s="159"/>
      <c r="AD202" s="159"/>
      <c r="AE202" s="158"/>
      <c r="AF202" s="158"/>
      <c r="AG202" s="159"/>
      <c r="AH202" s="159"/>
      <c r="AI202" s="159"/>
      <c r="AJ202" s="159"/>
      <c r="AK202" s="159"/>
      <c r="AL202" s="159"/>
      <c r="AM202" s="159"/>
      <c r="AN202" s="159"/>
      <c r="AO202" s="159"/>
      <c r="AP202" s="159"/>
      <c r="AQ202" s="159"/>
    </row>
    <row r="203" spans="1:43" s="151" customFormat="1" ht="13.5" hidden="1" customHeight="1" thickBot="1" x14ac:dyDescent="0.25">
      <c r="A203" s="444" t="s">
        <v>24</v>
      </c>
      <c r="B203" s="445"/>
      <c r="C203" s="446"/>
      <c r="D203" s="417" t="s">
        <v>25</v>
      </c>
      <c r="E203" s="418"/>
      <c r="F203" s="419"/>
      <c r="G203" s="417" t="s">
        <v>26</v>
      </c>
      <c r="H203" s="418"/>
      <c r="I203" s="419"/>
      <c r="J203" s="417" t="s">
        <v>27</v>
      </c>
      <c r="K203" s="418"/>
      <c r="L203" s="419"/>
      <c r="M203" s="417" t="s">
        <v>28</v>
      </c>
      <c r="N203" s="418"/>
      <c r="O203" s="419"/>
      <c r="P203" s="417" t="s">
        <v>64</v>
      </c>
      <c r="Q203" s="418"/>
      <c r="R203" s="418"/>
      <c r="S203" s="418"/>
      <c r="T203" s="419"/>
      <c r="U203" s="133"/>
      <c r="V203" s="134"/>
      <c r="W203" s="133"/>
      <c r="X203" s="134"/>
      <c r="Y203" s="171"/>
      <c r="Z203" s="259" t="str">
        <f>IF(Teams&gt;62,"Show", "Hide")</f>
        <v>Hide</v>
      </c>
      <c r="AA203" s="158"/>
      <c r="AB203" s="158"/>
      <c r="AC203" s="159"/>
      <c r="AD203" s="159"/>
      <c r="AE203" s="158"/>
      <c r="AF203" s="158"/>
      <c r="AG203" s="159"/>
      <c r="AH203" s="159"/>
      <c r="AI203" s="159"/>
      <c r="AJ203" s="159"/>
      <c r="AK203" s="159"/>
      <c r="AL203" s="159"/>
      <c r="AM203" s="159"/>
      <c r="AN203" s="159"/>
      <c r="AO203" s="159"/>
      <c r="AP203" s="159"/>
      <c r="AQ203" s="159"/>
    </row>
    <row r="204" spans="1:43" s="151" customFormat="1" ht="13.5" hidden="1" customHeight="1" x14ac:dyDescent="0.25">
      <c r="A204" s="430">
        <f>'Tournament Info'!C77</f>
        <v>0</v>
      </c>
      <c r="B204" s="431"/>
      <c r="C204" s="432"/>
      <c r="D204" s="163" t="str">
        <f>IF(COUNTIF('Ballot Entry'!$M$3:$M$37,$A204)=1,"Π",IF(COUNTIF('Ballot Entry'!$N$3:$N$37,$A204)=1,"Δ",""))</f>
        <v/>
      </c>
      <c r="E204" s="164" t="s">
        <v>30</v>
      </c>
      <c r="F204" s="165" t="str">
        <f>IFERROR(IF(D204="Π",VLOOKUP($A204, Round1P,2,FALSE),VLOOKUP($A204,Round1D,2,FALSE)),"")</f>
        <v/>
      </c>
      <c r="G204" s="163" t="str">
        <f>IF(COUNTIF('Ballot Entry'!$M$109:$M$143,$A204)=1,"Π",IF(COUNTIF('Ballot Entry'!$N$109:$N$143,$A204)=1,"Δ",""))</f>
        <v/>
      </c>
      <c r="H204" s="164" t="s">
        <v>30</v>
      </c>
      <c r="I204" s="165" t="str">
        <f>IFERROR(IF(G204="Π",VLOOKUP($A204, Round2P,2,FALSE),VLOOKUP($A204,Round2D,2,FALSE)),"")</f>
        <v/>
      </c>
      <c r="J204" s="163" t="str">
        <f>IF(COUNTIF('Ballot Entry'!$M$215:$M$249,$A204)=1,"Π",IF(COUNTIF('Ballot Entry'!$N$215:$N$249,$A204)=1,"Δ",""))</f>
        <v/>
      </c>
      <c r="K204" s="164" t="s">
        <v>30</v>
      </c>
      <c r="L204" s="165" t="str">
        <f>IFERROR(IF(J204="Π",VLOOKUP($A204, Round3P,2,FALSE),VLOOKUP($A204,Round3D,2,FALSE)),"")</f>
        <v/>
      </c>
      <c r="M204" s="163" t="str">
        <f>IF(COUNTIF('Ballot Entry'!$M$321:$M$355,$A204)=1,"Π",IF(COUNTIF('Ballot Entry'!$N$321:$N$355,$A204)=1,"Δ",""))</f>
        <v/>
      </c>
      <c r="N204" s="164" t="s">
        <v>30</v>
      </c>
      <c r="O204" s="165" t="str">
        <f>IFERROR(IF(M204="Π",VLOOKUP($A204, Round4P,2,FALSE),VLOOKUP($A204,Round4D,2,FALSE)),"")</f>
        <v/>
      </c>
      <c r="P204" s="166">
        <f>COUNTIF(D205:O205,"W")</f>
        <v>0</v>
      </c>
      <c r="Q204" s="167" t="s">
        <v>34</v>
      </c>
      <c r="R204" s="168">
        <f>COUNTIF(D205:O205,"L")</f>
        <v>0</v>
      </c>
      <c r="S204" s="169" t="s">
        <v>34</v>
      </c>
      <c r="T204" s="170">
        <f>COUNTIF(D205:O205,"T")</f>
        <v>0</v>
      </c>
      <c r="U204" s="124">
        <f>IFERROR(VLOOKUP('Tab Summary'!F204,TeamRecord,4,FALSE ),0)</f>
        <v>0</v>
      </c>
      <c r="V204" s="125">
        <f>IFERROR(VLOOKUP('Tab Summary'!I204,TeamRecord,4,FALSE ),0)</f>
        <v>0</v>
      </c>
      <c r="W204" s="126">
        <f>IFERROR(VLOOKUP('Tab Summary'!F204,TeamRecord,6,FALSE ),0)</f>
        <v>0</v>
      </c>
      <c r="X204" s="124">
        <f>IFERROR(VLOOKUP('Tab Summary'!I204,TeamRecord,6,FALSE ),0)</f>
        <v>0</v>
      </c>
      <c r="Y204" s="171">
        <f>IF(COUNTIF('Ballot Entry'!$X$3:$X$221,(P204+(T204/2)))=2,IF((P204+(T204/2))=U204,IF(COUNTIF(D205:F205,"W")&gt;COUNTIF(D205:F205,"L"),F204,0),0)+IF((P204+(T204/2))=V204,IF(COUNTIF(G205:I205,"W")&gt;COUNTIF(G205:I205,"L"),I204,0),0)+IF((P204+(T204/2))=U205,IF(COUNTIF(J205:L205,"W")&gt;COUNTIF(J205:L205,"L"),L204,0),0)+IF((P204+(T204/2))=V205,IF(COUNTIF(M205:O205,"W")&gt;COUNTIF(M205:O205,"L"),O204,0),0),0)</f>
        <v>0</v>
      </c>
      <c r="Z204" s="259" t="str">
        <f>IF(Teams&gt;62,"Show", "Hide")</f>
        <v>Hide</v>
      </c>
      <c r="AA204" s="158"/>
      <c r="AB204" s="158"/>
      <c r="AC204" s="159"/>
      <c r="AD204" s="159"/>
      <c r="AE204" s="158"/>
      <c r="AF204" s="158"/>
      <c r="AG204" s="159"/>
      <c r="AH204" s="159"/>
      <c r="AI204" s="159"/>
      <c r="AJ204" s="159"/>
      <c r="AK204" s="159"/>
      <c r="AL204" s="159"/>
      <c r="AM204" s="159"/>
      <c r="AN204" s="159"/>
      <c r="AO204" s="159"/>
      <c r="AP204" s="159"/>
      <c r="AQ204" s="159"/>
    </row>
    <row r="205" spans="1:43" s="151" customFormat="1" ht="13.5" hidden="1" customHeight="1" x14ac:dyDescent="0.25">
      <c r="A205" s="442">
        <f>'Tournament Info'!B77</f>
        <v>0</v>
      </c>
      <c r="B205" s="434"/>
      <c r="C205" s="435"/>
      <c r="D205" s="172" t="str">
        <f t="shared" ref="D205:O205" si="62">IF(D206="","",IF(D206&gt;0,"W",IF(D206&lt;0,"L",IF(D206=0,"T"))))</f>
        <v/>
      </c>
      <c r="E205" s="173" t="str">
        <f t="shared" si="62"/>
        <v/>
      </c>
      <c r="F205" s="174" t="str">
        <f t="shared" si="62"/>
        <v/>
      </c>
      <c r="G205" s="172" t="str">
        <f t="shared" si="62"/>
        <v/>
      </c>
      <c r="H205" s="173" t="str">
        <f t="shared" si="62"/>
        <v/>
      </c>
      <c r="I205" s="174" t="str">
        <f t="shared" si="62"/>
        <v/>
      </c>
      <c r="J205" s="172" t="str">
        <f t="shared" si="62"/>
        <v/>
      </c>
      <c r="K205" s="173" t="str">
        <f t="shared" si="62"/>
        <v/>
      </c>
      <c r="L205" s="174" t="str">
        <f t="shared" si="62"/>
        <v/>
      </c>
      <c r="M205" s="172" t="str">
        <f t="shared" si="62"/>
        <v/>
      </c>
      <c r="N205" s="173" t="str">
        <f t="shared" si="62"/>
        <v/>
      </c>
      <c r="O205" s="174" t="str">
        <f t="shared" si="62"/>
        <v/>
      </c>
      <c r="P205" s="175" t="s">
        <v>35</v>
      </c>
      <c r="Q205" s="176"/>
      <c r="R205" s="176" t="s">
        <v>36</v>
      </c>
      <c r="S205" s="176"/>
      <c r="T205" s="177" t="s">
        <v>31</v>
      </c>
      <c r="U205" s="127">
        <f>IFERROR(VLOOKUP('Tab Summary'!L204,TeamRecord,4,FALSE ),0)</f>
        <v>0</v>
      </c>
      <c r="V205" s="128">
        <f>IFERROR(VLOOKUP('Tab Summary'!O204,TeamRecord,4,FALSE ),0)</f>
        <v>0</v>
      </c>
      <c r="W205" s="129">
        <f>IFERROR(VLOOKUP('Tab Summary'!L204,TeamRecord,6,FALSE ),0)</f>
        <v>0</v>
      </c>
      <c r="X205" s="127">
        <f>IFERROR(VLOOKUP('Tab Summary'!O204,TeamRecord,6,FALSE ),0)</f>
        <v>0</v>
      </c>
      <c r="Y205" s="171">
        <f>IF(Y204&lt;&gt;0,(IF(COUNTIF('Ballot Entry'!$Z$3:$Z$35,'Tab Summary'!P206)=2,IF(P206=W204,IF(COUNTIF(D205:F205,"W")&gt;COUNTIF(D205:F205,"L"),1,0),0)+IF(P206=X204,IF(COUNTIF(G205:I205,"W")&gt;COUNTIF(G205:I205,"L"),1,0),0)+IF(P206=W205,IF(COUNTIF(J205:L205,"W")&gt;COUNTIF(J205:L205,"L"),1,0),0)+IF(P206=X205,IF(COUNTIF(M205:O205,"W")&gt;COUNTIF(M205:O205,"L"),1,0),0),0)),0)</f>
        <v>0</v>
      </c>
      <c r="Z205" s="259" t="str">
        <f>IF(Teams&gt;62,"Show", "Hide")</f>
        <v>Hide</v>
      </c>
      <c r="AA205" s="158"/>
      <c r="AB205" s="158"/>
      <c r="AC205" s="159"/>
      <c r="AD205" s="159"/>
      <c r="AE205" s="158"/>
      <c r="AF205" s="158"/>
      <c r="AG205" s="159"/>
      <c r="AH205" s="159"/>
      <c r="AI205" s="159"/>
      <c r="AJ205" s="159"/>
      <c r="AK205" s="159"/>
      <c r="AL205" s="159"/>
      <c r="AM205" s="159"/>
      <c r="AN205" s="159"/>
      <c r="AO205" s="159"/>
      <c r="AP205" s="159"/>
      <c r="AQ205" s="159"/>
    </row>
    <row r="206" spans="1:43" s="151" customFormat="1" ht="13.5" hidden="1" customHeight="1" thickBot="1" x14ac:dyDescent="0.3">
      <c r="A206" s="436"/>
      <c r="B206" s="437"/>
      <c r="C206" s="438"/>
      <c r="D206" s="178" t="str">
        <f>IFERROR(IF(D204="Π",VLOOKUP($A204, Round1P,3,FALSE),VLOOKUP($A204,Round1D,3,FALSE)),"")</f>
        <v/>
      </c>
      <c r="E206" s="179" t="str">
        <f>IFERROR(IF(Ballots=3,IF(D204="Π",VLOOKUP($A204, Round1P,5,FALSE),VLOOKUP($A204,Round1D,5,FALSE)),""),"")</f>
        <v/>
      </c>
      <c r="F206" s="180" t="str">
        <f>IFERROR(IF(D204="Π",VLOOKUP($A204, Round1P,4,FALSE),VLOOKUP($A204,Round1D,4,FALSE)),"")</f>
        <v/>
      </c>
      <c r="G206" s="178" t="str">
        <f>IFERROR(IF(G204="Π",VLOOKUP($A204, Round2P,3,FALSE),VLOOKUP($A204,Round2D,3,FALSE)),"")</f>
        <v/>
      </c>
      <c r="H206" s="179" t="str">
        <f>IFERROR(IF(Ballots=3,IF(G204="Π",VLOOKUP($A204, Round2P,5,FALSE),VLOOKUP($A204,Round2D,5,FALSE)),""),"")</f>
        <v/>
      </c>
      <c r="I206" s="180" t="str">
        <f>IFERROR(IF(G204="Π",VLOOKUP($A204, Round2P,4,FALSE),VLOOKUP($A204,Round2D,4,FALSE)),"")</f>
        <v/>
      </c>
      <c r="J206" s="178" t="str">
        <f>IFERROR(IF(J204="Π",VLOOKUP($A204, Round3P,3,FALSE),VLOOKUP($A204,Round3D,3,FALSE)),"")</f>
        <v/>
      </c>
      <c r="K206" s="179" t="str">
        <f>IFERROR(IF(Ballots=3,IF(J204="Π",VLOOKUP($A204, Round3P,5,FALSE),VLOOKUP($A204,Round3D,5,FALSE)),""),"")</f>
        <v/>
      </c>
      <c r="L206" s="180" t="str">
        <f>IFERROR(IF(J204="Π",VLOOKUP($A204, Round3P,4,FALSE),VLOOKUP($A204,Round3D,4,FALSE)),"")</f>
        <v/>
      </c>
      <c r="M206" s="178" t="str">
        <f>IFERROR(IF(M204="Π",VLOOKUP($A204, Round4P,3,FALSE),VLOOKUP($A204,Round4D,3,FALSE)),"")</f>
        <v/>
      </c>
      <c r="N206" s="179" t="str">
        <f>IFERROR(IF(Ballots=3,IF(M204="Π",VLOOKUP($A204, Round4P,5,FALSE),VLOOKUP($A204,Round4D,5,FALSE)),""),"")</f>
        <v/>
      </c>
      <c r="O206" s="180" t="str">
        <f>IFERROR(IF(M204="Π",VLOOKUP($A204, Round4P,4,FALSE),VLOOKUP($A204,Round4D,4,FALSE)),"")</f>
        <v/>
      </c>
      <c r="P206" s="181">
        <f>'Tab Summary'!U204+'Tab Summary'!V204+'Tab Summary'!U205+'Tab Summary'!V205</f>
        <v>0</v>
      </c>
      <c r="Q206" s="182"/>
      <c r="R206" s="183">
        <f>SUM('Tab Summary'!W204:X205)</f>
        <v>0</v>
      </c>
      <c r="S206" s="184"/>
      <c r="T206" s="185">
        <f>SUM(D206:O206)</f>
        <v>0</v>
      </c>
      <c r="U206" s="130" t="s">
        <v>67</v>
      </c>
      <c r="V206" s="131">
        <f>IF(D204="Π",COUNTIF(D205:F205,"W"),0)+IF(G204="Π",COUNTIF(G205:I205,"W"),0)+IF(J204="Π",COUNTIF(J205:L205,"W"),0)+IF(M204="Π",COUNTIF(M205:O205,"W"),0)</f>
        <v>0</v>
      </c>
      <c r="W206" s="132" t="s">
        <v>68</v>
      </c>
      <c r="X206" s="130">
        <f>IF(D204="Δ",COUNTIF(D205:F205,"W"),0)+IF(G204="Δ",COUNTIF(G205:I205,"W"),0)+IF(J204="Δ",COUNTIF(J205:L205,"W"),0)+IF(M204="Δ",COUNTIF(M205:O205,"W"),0)</f>
        <v>0</v>
      </c>
      <c r="Y206" s="171"/>
      <c r="Z206" s="259" t="str">
        <f>IF(Teams&gt;62,"Show", "Hide")</f>
        <v>Hide</v>
      </c>
      <c r="AA206" s="158"/>
      <c r="AB206" s="158"/>
      <c r="AC206" s="159"/>
      <c r="AD206" s="159"/>
      <c r="AE206" s="158"/>
      <c r="AF206" s="158"/>
      <c r="AG206" s="159"/>
      <c r="AH206" s="159"/>
      <c r="AI206" s="159"/>
      <c r="AJ206" s="159"/>
      <c r="AK206" s="159"/>
      <c r="AL206" s="159"/>
      <c r="AM206" s="159"/>
      <c r="AN206" s="159"/>
      <c r="AO206" s="159"/>
      <c r="AP206" s="159"/>
      <c r="AQ206" s="159"/>
    </row>
    <row r="207" spans="1:43" s="151" customFormat="1" ht="13.5" hidden="1" customHeight="1" x14ac:dyDescent="0.25">
      <c r="A207" s="439">
        <f>'Tournament Info'!C78</f>
        <v>0</v>
      </c>
      <c r="B207" s="440"/>
      <c r="C207" s="441"/>
      <c r="D207" s="186" t="str">
        <f>IF(COUNTIF('Ballot Entry'!$M$3:$M$37,$A207)=1,"Π",IF(COUNTIF('Ballot Entry'!$N$3:$N$37,$A207)=1,"Δ",""))</f>
        <v/>
      </c>
      <c r="E207" s="187" t="s">
        <v>30</v>
      </c>
      <c r="F207" s="188" t="str">
        <f>IFERROR(IF(D207="Π",VLOOKUP($A207, Round1P,2,FALSE),VLOOKUP($A207,Round1D,2,FALSE)),"")</f>
        <v/>
      </c>
      <c r="G207" s="186" t="str">
        <f>IF(COUNTIF('Ballot Entry'!$M$109:$M$143,$A207)=1,"Π",IF(COUNTIF('Ballot Entry'!$N$109:$N$143,$A207)=1,"Δ",""))</f>
        <v/>
      </c>
      <c r="H207" s="187" t="s">
        <v>30</v>
      </c>
      <c r="I207" s="188" t="str">
        <f>IFERROR(IF(G207="Π",VLOOKUP($A207, Round2P,2,FALSE),VLOOKUP($A207,Round2D,2,FALSE)),"")</f>
        <v/>
      </c>
      <c r="J207" s="186" t="str">
        <f>IF(COUNTIF('Ballot Entry'!$M$215:$M$249,$A207)=1,"Π",IF(COUNTIF('Ballot Entry'!$N$215:$N$249,$A207)=1,"Δ",""))</f>
        <v/>
      </c>
      <c r="K207" s="187" t="s">
        <v>30</v>
      </c>
      <c r="L207" s="188" t="str">
        <f>IFERROR(IF(J207="Π",VLOOKUP($A207, Round3P,2,FALSE),VLOOKUP($A207,Round3D,2,FALSE)),"")</f>
        <v/>
      </c>
      <c r="M207" s="186" t="str">
        <f>IF(COUNTIF('Ballot Entry'!$M$321:$M$355,$A207)=1,"Π",IF(COUNTIF('Ballot Entry'!$N$321:$N$355,$A207)=1,"Δ",""))</f>
        <v/>
      </c>
      <c r="N207" s="187" t="s">
        <v>30</v>
      </c>
      <c r="O207" s="188" t="str">
        <f>IFERROR(IF(M207="Π",VLOOKUP($A207, Round4P,2,FALSE),VLOOKUP($A207,Round4D,2,FALSE)),"")</f>
        <v/>
      </c>
      <c r="P207" s="189">
        <f>COUNTIF(D208:O208,"W")</f>
        <v>0</v>
      </c>
      <c r="Q207" s="190" t="s">
        <v>34</v>
      </c>
      <c r="R207" s="191">
        <f>COUNTIF(D208:O208,"L")</f>
        <v>0</v>
      </c>
      <c r="S207" s="192" t="s">
        <v>34</v>
      </c>
      <c r="T207" s="193">
        <f>COUNTIF(D208:O208,"T")</f>
        <v>0</v>
      </c>
      <c r="U207" s="124">
        <f>IFERROR(VLOOKUP('Tab Summary'!F207,TeamRecord,4,FALSE ),0)</f>
        <v>0</v>
      </c>
      <c r="V207" s="125">
        <f>IFERROR(VLOOKUP('Tab Summary'!I207,TeamRecord,4,FALSE ),0)</f>
        <v>0</v>
      </c>
      <c r="W207" s="126">
        <f>IFERROR(VLOOKUP('Tab Summary'!F207,TeamRecord,6,FALSE ),0)</f>
        <v>0</v>
      </c>
      <c r="X207" s="124">
        <f>IFERROR(VLOOKUP('Tab Summary'!I207,TeamRecord,6,FALSE ),0)</f>
        <v>0</v>
      </c>
      <c r="Y207" s="171">
        <f>IF(COUNTIF('Ballot Entry'!$X$3:$X$221,(P207+(T207/2)))=2,IF((P207+(T207/2))=U207,IF(COUNTIF(D208:F208,"W")&gt;COUNTIF(D208:F208,"L"),F207,0),0)+IF((P207+(T207/2))=V207,IF(COUNTIF(G208:I208,"W")&gt;COUNTIF(G208:I208,"L"),I207,0),0)+IF((P207+(T207/2))=U208,IF(COUNTIF(J208:L208,"W")&gt;COUNTIF(J208:L208,"L"),L207,0),0)+IF((P207+(T207/2))=V208,IF(COUNTIF(M208:O208,"W")&gt;COUNTIF(M208:O208,"L"),O207,0),0),0)</f>
        <v>0</v>
      </c>
      <c r="Z207" s="259" t="str">
        <f>IF(Teams&gt;63,"Show", "Hide")</f>
        <v>Hide</v>
      </c>
      <c r="AA207" s="158"/>
      <c r="AC207" s="159"/>
      <c r="AD207" s="159"/>
      <c r="AE207" s="158"/>
      <c r="AF207" s="158"/>
      <c r="AG207" s="159"/>
      <c r="AH207" s="159"/>
      <c r="AI207" s="159"/>
      <c r="AJ207" s="159"/>
      <c r="AK207" s="159"/>
      <c r="AL207" s="159"/>
      <c r="AM207" s="159"/>
      <c r="AN207" s="159"/>
      <c r="AO207" s="159"/>
      <c r="AP207" s="159"/>
      <c r="AQ207" s="159"/>
    </row>
    <row r="208" spans="1:43" s="151" customFormat="1" ht="13.5" hidden="1" customHeight="1" x14ac:dyDescent="0.25">
      <c r="A208" s="443">
        <f>'Tournament Info'!B78</f>
        <v>0</v>
      </c>
      <c r="B208" s="425"/>
      <c r="C208" s="426"/>
      <c r="D208" s="194" t="str">
        <f t="shared" ref="D208:O208" si="63">IF(D209="","",IF(D209&gt;0,"W",IF(D209&lt;0,"L",IF(D209=0,"T"))))</f>
        <v/>
      </c>
      <c r="E208" s="195" t="str">
        <f t="shared" si="63"/>
        <v/>
      </c>
      <c r="F208" s="196" t="str">
        <f t="shared" si="63"/>
        <v/>
      </c>
      <c r="G208" s="194" t="str">
        <f t="shared" si="63"/>
        <v/>
      </c>
      <c r="H208" s="195" t="str">
        <f t="shared" si="63"/>
        <v/>
      </c>
      <c r="I208" s="196" t="str">
        <f t="shared" si="63"/>
        <v/>
      </c>
      <c r="J208" s="194" t="str">
        <f t="shared" si="63"/>
        <v/>
      </c>
      <c r="K208" s="195" t="str">
        <f t="shared" si="63"/>
        <v/>
      </c>
      <c r="L208" s="196" t="str">
        <f t="shared" si="63"/>
        <v/>
      </c>
      <c r="M208" s="194" t="str">
        <f t="shared" si="63"/>
        <v/>
      </c>
      <c r="N208" s="195" t="str">
        <f t="shared" si="63"/>
        <v/>
      </c>
      <c r="O208" s="196" t="str">
        <f t="shared" si="63"/>
        <v/>
      </c>
      <c r="P208" s="197" t="s">
        <v>35</v>
      </c>
      <c r="Q208" s="198"/>
      <c r="R208" s="198" t="s">
        <v>36</v>
      </c>
      <c r="S208" s="198"/>
      <c r="T208" s="199" t="s">
        <v>31</v>
      </c>
      <c r="U208" s="127">
        <f>IFERROR(VLOOKUP('Tab Summary'!L207,TeamRecord,4,FALSE ),0)</f>
        <v>0</v>
      </c>
      <c r="V208" s="128">
        <f>IFERROR(VLOOKUP('Tab Summary'!O207,TeamRecord,4,FALSE ),0)</f>
        <v>0</v>
      </c>
      <c r="W208" s="129">
        <f>IFERROR(VLOOKUP('Tab Summary'!L207,TeamRecord,6,FALSE ),0)</f>
        <v>0</v>
      </c>
      <c r="X208" s="127">
        <f>IFERROR(VLOOKUP('Tab Summary'!O207,TeamRecord,6,FALSE ),0)</f>
        <v>0</v>
      </c>
      <c r="Y208" s="171">
        <f>IF(Y207&lt;&gt;0,(IF(COUNTIF('Ballot Entry'!$Z$3:$Z$35,'Tab Summary'!P209)=2,IF(P209=W207,IF(COUNTIF(D208:F208,"W")&gt;COUNTIF(D208:F208,"L"),1,0),0)+IF(P209=X207,IF(COUNTIF(G208:I208,"W")&gt;COUNTIF(G208:I208,"L"),1,0),0)+IF(P209=W208,IF(COUNTIF(J208:L208,"W")&gt;COUNTIF(J208:L208,"L"),1,0),0)+IF(P209=X208,IF(COUNTIF(M208:O208,"W")&gt;COUNTIF(M208:O208,"L"),1,0),0),0)),0)</f>
        <v>0</v>
      </c>
      <c r="Z208" s="259" t="str">
        <f>IF(Teams&gt;63,"Show", "Hide")</f>
        <v>Hide</v>
      </c>
      <c r="AA208" s="158"/>
      <c r="AB208" s="158"/>
      <c r="AC208" s="159"/>
      <c r="AD208" s="159"/>
      <c r="AE208" s="158"/>
      <c r="AF208" s="158"/>
      <c r="AG208" s="159"/>
      <c r="AH208" s="159"/>
      <c r="AI208" s="159"/>
      <c r="AJ208" s="159"/>
      <c r="AK208" s="159"/>
      <c r="AL208" s="159"/>
      <c r="AM208" s="159"/>
      <c r="AN208" s="159"/>
      <c r="AO208" s="159"/>
      <c r="AP208" s="159"/>
      <c r="AQ208" s="159"/>
    </row>
    <row r="209" spans="1:43" s="151" customFormat="1" ht="13.5" hidden="1" customHeight="1" thickBot="1" x14ac:dyDescent="0.3">
      <c r="A209" s="427"/>
      <c r="B209" s="428"/>
      <c r="C209" s="429"/>
      <c r="D209" s="200" t="str">
        <f>IFERROR(IF(D207="Π",VLOOKUP($A207, Round1P,3,FALSE),VLOOKUP($A207,Round1D,3,FALSE)),"")</f>
        <v/>
      </c>
      <c r="E209" s="201" t="str">
        <f>IFERROR(IF(Ballots=3,IF(D207="Π",VLOOKUP($A207, Round1P,5,FALSE),VLOOKUP($A207,Round1D,5,FALSE)),""),"")</f>
        <v/>
      </c>
      <c r="F209" s="202" t="str">
        <f>IFERROR(IF(D207="Π",VLOOKUP($A207, Round1P,4,FALSE),VLOOKUP($A207,Round1D,4,FALSE)),"")</f>
        <v/>
      </c>
      <c r="G209" s="200" t="str">
        <f>IFERROR(IF(G207="Π",VLOOKUP($A207, Round2P,3,FALSE),VLOOKUP($A207,Round2D,3,FALSE)),"")</f>
        <v/>
      </c>
      <c r="H209" s="201" t="str">
        <f>IFERROR(IF(Ballots=3,IF(G207="Π",VLOOKUP($A207, Round2P,5,FALSE),VLOOKUP($A207,Round2D,5,FALSE)),""),"")</f>
        <v/>
      </c>
      <c r="I209" s="202" t="str">
        <f>IFERROR(IF(G207="Π",VLOOKUP($A207, Round2P,4,FALSE),VLOOKUP($A207,Round2D,4,FALSE)),"")</f>
        <v/>
      </c>
      <c r="J209" s="200" t="str">
        <f>IFERROR(IF(J207="Π",VLOOKUP($A207, Round3P,3,FALSE),VLOOKUP($A207,Round3D,3,FALSE)),"")</f>
        <v/>
      </c>
      <c r="K209" s="201" t="str">
        <f>IFERROR(IF(Ballots=3,IF(J207="Π",VLOOKUP($A207, Round3P,5,FALSE),VLOOKUP($A207,Round3D,5,FALSE)),""),"")</f>
        <v/>
      </c>
      <c r="L209" s="202" t="str">
        <f>IFERROR(IF(J207="Π",VLOOKUP($A207, Round3P,4,FALSE),VLOOKUP($A207,Round3D,4,FALSE)),"")</f>
        <v/>
      </c>
      <c r="M209" s="200" t="str">
        <f>IFERROR(IF(M207="Π",VLOOKUP($A207, Round4P,3,FALSE),VLOOKUP($A207,Round4D,3,FALSE)),"")</f>
        <v/>
      </c>
      <c r="N209" s="201" t="str">
        <f>IFERROR(IF(Ballots=3,IF(M207="Π",VLOOKUP($A207, Round4P,5,FALSE),VLOOKUP($A207,Round4D,5,FALSE)),""),"")</f>
        <v/>
      </c>
      <c r="O209" s="202" t="str">
        <f>IFERROR(IF(M207="Π",VLOOKUP($A207, Round4P,4,FALSE),VLOOKUP($A207,Round4D,4,FALSE)),"")</f>
        <v/>
      </c>
      <c r="P209" s="203">
        <f>'Tab Summary'!U207+'Tab Summary'!V207+'Tab Summary'!U208+'Tab Summary'!V208</f>
        <v>0</v>
      </c>
      <c r="Q209" s="204"/>
      <c r="R209" s="205">
        <f>SUM('Tab Summary'!W207:X208)</f>
        <v>0</v>
      </c>
      <c r="S209" s="206"/>
      <c r="T209" s="207">
        <f>SUM(D209:O209)</f>
        <v>0</v>
      </c>
      <c r="U209" s="130" t="s">
        <v>67</v>
      </c>
      <c r="V209" s="131">
        <f>IF(D207="Π",COUNTIF(D208:F208,"W"),0)+IF(G207="Π",COUNTIF(G208:I208,"W"),0)+IF(J207="Π",COUNTIF(J208:L208,"W"),0)+IF(M207="Π",COUNTIF(M208:O208,"W"),0)</f>
        <v>0</v>
      </c>
      <c r="W209" s="132" t="s">
        <v>68</v>
      </c>
      <c r="X209" s="130">
        <f>IF(D207="Δ",COUNTIF(D208:F208,"W"),0)+IF(G207="Δ",COUNTIF(G208:I208,"W"),0)+IF(J207="Δ",COUNTIF(J208:L208,"W"),0)+IF(M207="Δ",COUNTIF(M208:O208,"W"),0)</f>
        <v>0</v>
      </c>
      <c r="Y209" s="171"/>
      <c r="Z209" s="259" t="str">
        <f>IF(Teams&gt;63,"Show", "Hide")</f>
        <v>Hide</v>
      </c>
      <c r="AA209" s="158"/>
      <c r="AB209" s="158"/>
      <c r="AC209" s="159"/>
      <c r="AD209" s="159"/>
      <c r="AE209" s="158"/>
      <c r="AF209" s="158"/>
      <c r="AG209" s="159"/>
      <c r="AH209" s="159"/>
      <c r="AI209" s="159"/>
      <c r="AJ209" s="159"/>
      <c r="AK209" s="159"/>
      <c r="AL209" s="159"/>
      <c r="AM209" s="159"/>
      <c r="AN209" s="159"/>
      <c r="AO209" s="159"/>
      <c r="AP209" s="159"/>
      <c r="AQ209" s="159"/>
    </row>
    <row r="210" spans="1:43" s="151" customFormat="1" ht="13.5" hidden="1" customHeight="1" x14ac:dyDescent="0.25">
      <c r="A210" s="430">
        <f>'Tournament Info'!C79</f>
        <v>0</v>
      </c>
      <c r="B210" s="431"/>
      <c r="C210" s="432"/>
      <c r="D210" s="163" t="str">
        <f>IF(COUNTIF('Ballot Entry'!$M$3:$M$37,$A210)=1,"Π",IF(COUNTIF('Ballot Entry'!$N$3:$N$37,$A210)=1,"Δ",""))</f>
        <v/>
      </c>
      <c r="E210" s="164" t="s">
        <v>30</v>
      </c>
      <c r="F210" s="165" t="str">
        <f>IFERROR(IF(D210="Π",VLOOKUP($A210, Round1P,2,FALSE),VLOOKUP($A210,Round1D,2,FALSE)),"")</f>
        <v/>
      </c>
      <c r="G210" s="163" t="str">
        <f>IF(COUNTIF('Ballot Entry'!$M$109:$M$143,$A210)=1,"Π",IF(COUNTIF('Ballot Entry'!$N$109:$N$143,$A210)=1,"Δ",""))</f>
        <v/>
      </c>
      <c r="H210" s="164" t="s">
        <v>30</v>
      </c>
      <c r="I210" s="165" t="str">
        <f>IFERROR(IF(G210="Π",VLOOKUP($A210, Round2P,2,FALSE),VLOOKUP($A210,Round2D,2,FALSE)),"")</f>
        <v/>
      </c>
      <c r="J210" s="163" t="str">
        <f>IF(COUNTIF('Ballot Entry'!$M$215:$M$249,$A210)=1,"Π",IF(COUNTIF('Ballot Entry'!$N$215:$N$249,$A210)=1,"Δ",""))</f>
        <v/>
      </c>
      <c r="K210" s="164" t="s">
        <v>30</v>
      </c>
      <c r="L210" s="165" t="str">
        <f>IFERROR(IF(J210="Π",VLOOKUP($A210, Round3P,2,FALSE),VLOOKUP($A210,Round3D,2,FALSE)),"")</f>
        <v/>
      </c>
      <c r="M210" s="163" t="str">
        <f>IF(COUNTIF('Ballot Entry'!$M$321:$M$355,$A210)=1,"Π",IF(COUNTIF('Ballot Entry'!$N$321:$N$355,$A210)=1,"Δ",""))</f>
        <v/>
      </c>
      <c r="N210" s="164" t="s">
        <v>30</v>
      </c>
      <c r="O210" s="165" t="str">
        <f>IFERROR(IF(M210="Π",VLOOKUP($A210, Round4P,2,FALSE),VLOOKUP($A210,Round4D,2,FALSE)),"")</f>
        <v/>
      </c>
      <c r="P210" s="166">
        <f>COUNTIF(D211:O211,"W")</f>
        <v>0</v>
      </c>
      <c r="Q210" s="167" t="s">
        <v>34</v>
      </c>
      <c r="R210" s="168">
        <f>COUNTIF(D211:O211,"L")</f>
        <v>0</v>
      </c>
      <c r="S210" s="169" t="s">
        <v>34</v>
      </c>
      <c r="T210" s="170">
        <f>COUNTIF(D211:O211,"T")</f>
        <v>0</v>
      </c>
      <c r="U210" s="124">
        <f>IFERROR(VLOOKUP('Tab Summary'!F210,TeamRecord,4,FALSE ),0)</f>
        <v>0</v>
      </c>
      <c r="V210" s="125">
        <f>IFERROR(VLOOKUP('Tab Summary'!I210,TeamRecord,4,FALSE ),0)</f>
        <v>0</v>
      </c>
      <c r="W210" s="126">
        <f>IFERROR(VLOOKUP('Tab Summary'!F210,TeamRecord,6,FALSE ),0)</f>
        <v>0</v>
      </c>
      <c r="X210" s="124">
        <f>IFERROR(VLOOKUP('Tab Summary'!I210,TeamRecord,6,FALSE ),0)</f>
        <v>0</v>
      </c>
      <c r="Y210" s="171">
        <f>IF(COUNTIF('Ballot Entry'!$X$3:$X$221,(P210+(T210/2)))=2,IF((P210+(T210/2))=U210,IF(COUNTIF(D211:F211,"W")&gt;COUNTIF(D211:F211,"L"),F210,0),0)+IF((P210+(T210/2))=V210,IF(COUNTIF(G211:I211,"W")&gt;COUNTIF(G211:I211,"L"),I210,0),0)+IF((P210+(T210/2))=U211,IF(COUNTIF(J211:L211,"W")&gt;COUNTIF(J211:L211,"L"),L210,0),0)+IF((P210+(T210/2))=V211,IF(COUNTIF(M211:O211,"W")&gt;COUNTIF(M211:O211,"L"),O210,0),0),0)</f>
        <v>0</v>
      </c>
      <c r="Z210" s="259" t="str">
        <f>IF(Teams&gt;64,"Show", "Hide")</f>
        <v>Hide</v>
      </c>
      <c r="AA210" s="158"/>
      <c r="AB210" s="158"/>
      <c r="AC210" s="159"/>
      <c r="AD210" s="159"/>
      <c r="AE210" s="158"/>
      <c r="AF210" s="158"/>
      <c r="AG210" s="159"/>
      <c r="AH210" s="159"/>
      <c r="AI210" s="159"/>
      <c r="AJ210" s="159"/>
      <c r="AK210" s="159"/>
      <c r="AL210" s="159"/>
      <c r="AM210" s="159"/>
      <c r="AN210" s="159"/>
      <c r="AO210" s="159"/>
      <c r="AP210" s="159"/>
      <c r="AQ210" s="159"/>
    </row>
    <row r="211" spans="1:43" s="151" customFormat="1" ht="13.5" hidden="1" customHeight="1" x14ac:dyDescent="0.25">
      <c r="A211" s="442">
        <f>'Tournament Info'!B79</f>
        <v>0</v>
      </c>
      <c r="B211" s="434"/>
      <c r="C211" s="435"/>
      <c r="D211" s="172" t="str">
        <f t="shared" ref="D211:O211" si="64">IF(D212="","",IF(D212&gt;0,"W",IF(D212&lt;0,"L",IF(D212=0,"T"))))</f>
        <v/>
      </c>
      <c r="E211" s="173" t="str">
        <f t="shared" si="64"/>
        <v/>
      </c>
      <c r="F211" s="174" t="str">
        <f t="shared" si="64"/>
        <v/>
      </c>
      <c r="G211" s="172" t="str">
        <f t="shared" si="64"/>
        <v/>
      </c>
      <c r="H211" s="173" t="str">
        <f t="shared" si="64"/>
        <v/>
      </c>
      <c r="I211" s="174" t="str">
        <f t="shared" si="64"/>
        <v/>
      </c>
      <c r="J211" s="172" t="str">
        <f t="shared" si="64"/>
        <v/>
      </c>
      <c r="K211" s="173" t="str">
        <f t="shared" si="64"/>
        <v/>
      </c>
      <c r="L211" s="174" t="str">
        <f t="shared" si="64"/>
        <v/>
      </c>
      <c r="M211" s="172" t="str">
        <f t="shared" si="64"/>
        <v/>
      </c>
      <c r="N211" s="173" t="str">
        <f t="shared" si="64"/>
        <v/>
      </c>
      <c r="O211" s="174" t="str">
        <f t="shared" si="64"/>
        <v/>
      </c>
      <c r="P211" s="175" t="s">
        <v>35</v>
      </c>
      <c r="Q211" s="176"/>
      <c r="R211" s="176" t="s">
        <v>36</v>
      </c>
      <c r="S211" s="176"/>
      <c r="T211" s="177" t="s">
        <v>31</v>
      </c>
      <c r="U211" s="127">
        <f>IFERROR(VLOOKUP('Tab Summary'!L210,TeamRecord,4,FALSE ),0)</f>
        <v>0</v>
      </c>
      <c r="V211" s="128">
        <f>IFERROR(VLOOKUP('Tab Summary'!O210,TeamRecord,4,FALSE ),0)</f>
        <v>0</v>
      </c>
      <c r="W211" s="129">
        <f>IFERROR(VLOOKUP('Tab Summary'!L210,TeamRecord,6,FALSE ),0)</f>
        <v>0</v>
      </c>
      <c r="X211" s="127">
        <f>IFERROR(VLOOKUP('Tab Summary'!O210,TeamRecord,6,FALSE ),0)</f>
        <v>0</v>
      </c>
      <c r="Y211" s="171">
        <f>IF(Y210&lt;&gt;0,(IF(COUNTIF('Ballot Entry'!$Z$3:$Z$35,'Tab Summary'!P212)=2,IF(P212=W210,IF(COUNTIF(D211:F211,"W")&gt;COUNTIF(D211:F211,"L"),1,0),0)+IF(P212=X210,IF(COUNTIF(G211:I211,"W")&gt;COUNTIF(G211:I211,"L"),1,0),0)+IF(P212=W211,IF(COUNTIF(J211:L211,"W")&gt;COUNTIF(J211:L211,"L"),1,0),0)+IF(P212=X211,IF(COUNTIF(M211:O211,"W")&gt;COUNTIF(M211:O211,"L"),1,0),0),0)),0)</f>
        <v>0</v>
      </c>
      <c r="Z211" s="259" t="str">
        <f>IF(Teams&gt;64,"Show", "Hide")</f>
        <v>Hide</v>
      </c>
      <c r="AA211" s="158"/>
      <c r="AB211" s="158"/>
      <c r="AC211" s="159"/>
      <c r="AD211" s="159"/>
      <c r="AE211" s="158"/>
      <c r="AF211" s="158"/>
      <c r="AG211" s="159"/>
      <c r="AH211" s="159"/>
      <c r="AI211" s="159"/>
      <c r="AJ211" s="159"/>
      <c r="AK211" s="159"/>
      <c r="AL211" s="159"/>
      <c r="AM211" s="159"/>
      <c r="AN211" s="159"/>
      <c r="AO211" s="159"/>
      <c r="AP211" s="159"/>
      <c r="AQ211" s="159"/>
    </row>
    <row r="212" spans="1:43" s="151" customFormat="1" ht="13.5" hidden="1" customHeight="1" thickBot="1" x14ac:dyDescent="0.3">
      <c r="A212" s="436"/>
      <c r="B212" s="437"/>
      <c r="C212" s="438"/>
      <c r="D212" s="178" t="str">
        <f>IFERROR(IF(D210="Π",VLOOKUP($A210, Round1P,3,FALSE),VLOOKUP($A210,Round1D,3,FALSE)),"")</f>
        <v/>
      </c>
      <c r="E212" s="179" t="str">
        <f>IFERROR(IF(Ballots=3,IF(D210="Π",VLOOKUP($A210, Round1P,5,FALSE),VLOOKUP($A210,Round1D,5,FALSE)),""),"")</f>
        <v/>
      </c>
      <c r="F212" s="180" t="str">
        <f>IFERROR(IF(D210="Π",VLOOKUP($A210, Round1P,4,FALSE),VLOOKUP($A210,Round1D,4,FALSE)),"")</f>
        <v/>
      </c>
      <c r="G212" s="178" t="str">
        <f>IFERROR(IF(G210="Π",VLOOKUP($A210, Round2P,3,FALSE),VLOOKUP($A210,Round2D,3,FALSE)),"")</f>
        <v/>
      </c>
      <c r="H212" s="179" t="str">
        <f>IFERROR(IF(Ballots=3,IF(G210="Π",VLOOKUP($A210, Round2P,5,FALSE),VLOOKUP($A210,Round2D,5,FALSE)),""),"")</f>
        <v/>
      </c>
      <c r="I212" s="180" t="str">
        <f>IFERROR(IF(G210="Π",VLOOKUP($A210, Round2P,4,FALSE),VLOOKUP($A210,Round2D,4,FALSE)),"")</f>
        <v/>
      </c>
      <c r="J212" s="178" t="str">
        <f>IFERROR(IF(J210="Π",VLOOKUP($A210, Round3P,3,FALSE),VLOOKUP($A210,Round3D,3,FALSE)),"")</f>
        <v/>
      </c>
      <c r="K212" s="179" t="str">
        <f>IFERROR(IF(Ballots=3,IF(J210="Π",VLOOKUP($A210, Round3P,5,FALSE),VLOOKUP($A210,Round3D,5,FALSE)),""),"")</f>
        <v/>
      </c>
      <c r="L212" s="180" t="str">
        <f>IFERROR(IF(J210="Π",VLOOKUP($A210, Round3P,4,FALSE),VLOOKUP($A210,Round3D,4,FALSE)),"")</f>
        <v/>
      </c>
      <c r="M212" s="178" t="str">
        <f>IFERROR(IF(M210="Π",VLOOKUP($A210, Round4P,3,FALSE),VLOOKUP($A210,Round4D,3,FALSE)),"")</f>
        <v/>
      </c>
      <c r="N212" s="179" t="str">
        <f>IFERROR(IF(Ballots=3,IF(M210="Π",VLOOKUP($A210, Round4P,5,FALSE),VLOOKUP($A210,Round4D,5,FALSE)),""),"")</f>
        <v/>
      </c>
      <c r="O212" s="180" t="str">
        <f>IFERROR(IF(M210="Π",VLOOKUP($A210, Round4P,4,FALSE),VLOOKUP($A210,Round4D,4,FALSE)),"")</f>
        <v/>
      </c>
      <c r="P212" s="181">
        <f>'Tab Summary'!U210+'Tab Summary'!V210+'Tab Summary'!U211+'Tab Summary'!V211</f>
        <v>0</v>
      </c>
      <c r="Q212" s="182"/>
      <c r="R212" s="183">
        <f>SUM('Tab Summary'!W210:X211)</f>
        <v>0</v>
      </c>
      <c r="S212" s="184"/>
      <c r="T212" s="185">
        <f>SUM(D212:O212)</f>
        <v>0</v>
      </c>
      <c r="U212" s="130" t="s">
        <v>67</v>
      </c>
      <c r="V212" s="131">
        <f>IF(D210="Π",COUNTIF(D211:F211,"W"),0)+IF(G210="Π",COUNTIF(G211:I211,"W"),0)+IF(J210="Π",COUNTIF(J211:L211,"W"),0)+IF(M210="Π",COUNTIF(M211:O211,"W"),0)</f>
        <v>0</v>
      </c>
      <c r="W212" s="132" t="s">
        <v>68</v>
      </c>
      <c r="X212" s="130">
        <f>IF(D210="Δ",COUNTIF(D211:F211,"W"),0)+IF(G210="Δ",COUNTIF(G211:I211,"W"),0)+IF(J210="Δ",COUNTIF(J211:L211,"W"),0)+IF(M210="Δ",COUNTIF(M211:O211,"W"),0)</f>
        <v>0</v>
      </c>
      <c r="Y212" s="171"/>
      <c r="Z212" s="259" t="str">
        <f>IF(Teams&gt;64,"Show", "Hide")</f>
        <v>Hide</v>
      </c>
      <c r="AA212" s="158"/>
      <c r="AB212" s="158"/>
      <c r="AC212" s="159"/>
      <c r="AD212" s="159"/>
      <c r="AE212" s="158"/>
      <c r="AF212" s="158"/>
      <c r="AG212" s="159"/>
      <c r="AH212" s="159"/>
      <c r="AI212" s="159"/>
      <c r="AJ212" s="159"/>
      <c r="AK212" s="159"/>
      <c r="AL212" s="159"/>
      <c r="AM212" s="159"/>
      <c r="AN212" s="159"/>
      <c r="AO212" s="159"/>
      <c r="AP212" s="159"/>
      <c r="AQ212" s="159"/>
    </row>
    <row r="213" spans="1:43" s="151" customFormat="1" ht="13.5" hidden="1" customHeight="1" x14ac:dyDescent="0.25">
      <c r="A213" s="439">
        <f>'Tournament Info'!C80</f>
        <v>0</v>
      </c>
      <c r="B213" s="440"/>
      <c r="C213" s="441"/>
      <c r="D213" s="186" t="str">
        <f>IF(COUNTIF('Ballot Entry'!$M$3:$M$37,$A213)=1,"Π",IF(COUNTIF('Ballot Entry'!$N$3:$N$37,$A213)=1,"Δ",""))</f>
        <v/>
      </c>
      <c r="E213" s="187" t="s">
        <v>30</v>
      </c>
      <c r="F213" s="188" t="str">
        <f>IFERROR(IF(D213="Π",VLOOKUP($A213, Round1P,2,FALSE),VLOOKUP($A213,Round1D,2,FALSE)),"")</f>
        <v/>
      </c>
      <c r="G213" s="186" t="str">
        <f>IF(COUNTIF('Ballot Entry'!$M$109:$M$143,$A213)=1,"Π",IF(COUNTIF('Ballot Entry'!$N$109:$N$143,$A213)=1,"Δ",""))</f>
        <v/>
      </c>
      <c r="H213" s="187" t="s">
        <v>30</v>
      </c>
      <c r="I213" s="188" t="str">
        <f>IFERROR(IF(G213="Π",VLOOKUP($A213, Round2P,2,FALSE),VLOOKUP($A213,Round2D,2,FALSE)),"")</f>
        <v/>
      </c>
      <c r="J213" s="186" t="str">
        <f>IF(COUNTIF('Ballot Entry'!$M$215:$M$249,$A213)=1,"Π",IF(COUNTIF('Ballot Entry'!$N$215:$N$249,$A213)=1,"Δ",""))</f>
        <v/>
      </c>
      <c r="K213" s="187" t="s">
        <v>30</v>
      </c>
      <c r="L213" s="188" t="str">
        <f>IFERROR(IF(J213="Π",VLOOKUP($A213, Round3P,2,FALSE),VLOOKUP($A213,Round3D,2,FALSE)),"")</f>
        <v/>
      </c>
      <c r="M213" s="186" t="str">
        <f>IF(COUNTIF('Ballot Entry'!$M$321:$M$355,$A213)=1,"Π",IF(COUNTIF('Ballot Entry'!$N$321:$N$355,$A213)=1,"Δ",""))</f>
        <v/>
      </c>
      <c r="N213" s="187" t="s">
        <v>30</v>
      </c>
      <c r="O213" s="188" t="str">
        <f>IFERROR(IF(M213="Π",VLOOKUP($A213, Round4P,2,FALSE),VLOOKUP($A213,Round4D,2,FALSE)),"")</f>
        <v/>
      </c>
      <c r="P213" s="189">
        <f>COUNTIF(D214:O214,"W")</f>
        <v>0</v>
      </c>
      <c r="Q213" s="190" t="s">
        <v>34</v>
      </c>
      <c r="R213" s="191">
        <f>COUNTIF(D214:O214,"L")</f>
        <v>0</v>
      </c>
      <c r="S213" s="192" t="s">
        <v>34</v>
      </c>
      <c r="T213" s="193">
        <f>COUNTIF(D214:O214,"T")</f>
        <v>0</v>
      </c>
      <c r="U213" s="124">
        <f>IFERROR(VLOOKUP('Tab Summary'!F213,TeamRecord,4,FALSE ),0)</f>
        <v>0</v>
      </c>
      <c r="V213" s="125">
        <f>IFERROR(VLOOKUP('Tab Summary'!I213,TeamRecord,4,FALSE ),0)</f>
        <v>0</v>
      </c>
      <c r="W213" s="126">
        <f>IFERROR(VLOOKUP('Tab Summary'!F213,TeamRecord,6,FALSE ),0)</f>
        <v>0</v>
      </c>
      <c r="X213" s="124">
        <f>IFERROR(VLOOKUP('Tab Summary'!I213,TeamRecord,6,FALSE ),0)</f>
        <v>0</v>
      </c>
      <c r="Y213" s="171">
        <f>IF(COUNTIF('Ballot Entry'!$X$3:$X$221,(P213+(T213/2)))=2,IF((P213+(T213/2))=U213,IF(COUNTIF(D214:F214,"W")&gt;COUNTIF(D214:F214,"L"),F213,0),0)+IF((P213+(T213/2))=V213,IF(COUNTIF(G214:I214,"W")&gt;COUNTIF(G214:I214,"L"),I213,0),0)+IF((P213+(T213/2))=U214,IF(COUNTIF(J214:L214,"W")&gt;COUNTIF(J214:L214,"L"),L213,0),0)+IF((P213+(T213/2))=V214,IF(COUNTIF(M214:O214,"W")&gt;COUNTIF(M214:O214,"L"),O213,0),0),0)</f>
        <v>0</v>
      </c>
      <c r="Z213" s="259" t="str">
        <f>IF(Teams&gt;65,"Show", "Hide")</f>
        <v>Hide</v>
      </c>
      <c r="AA213" s="158"/>
      <c r="AB213" s="158"/>
      <c r="AC213" s="159"/>
      <c r="AD213" s="159"/>
      <c r="AE213" s="158"/>
      <c r="AF213" s="158"/>
      <c r="AG213" s="159"/>
      <c r="AH213" s="159"/>
      <c r="AI213" s="159"/>
      <c r="AJ213" s="159"/>
      <c r="AK213" s="159"/>
      <c r="AL213" s="159"/>
      <c r="AM213" s="159"/>
      <c r="AN213" s="159"/>
      <c r="AO213" s="159"/>
      <c r="AP213" s="159"/>
      <c r="AQ213" s="159"/>
    </row>
    <row r="214" spans="1:43" s="151" customFormat="1" ht="13.5" hidden="1" customHeight="1" x14ac:dyDescent="0.25">
      <c r="A214" s="443">
        <f>'Tournament Info'!B80</f>
        <v>0</v>
      </c>
      <c r="B214" s="425"/>
      <c r="C214" s="426"/>
      <c r="D214" s="194" t="str">
        <f t="shared" ref="D214:O214" si="65">IF(D215="","",IF(D215&gt;0,"W",IF(D215&lt;0,"L",IF(D215=0,"T"))))</f>
        <v/>
      </c>
      <c r="E214" s="195" t="str">
        <f t="shared" si="65"/>
        <v/>
      </c>
      <c r="F214" s="196" t="str">
        <f t="shared" si="65"/>
        <v/>
      </c>
      <c r="G214" s="194" t="str">
        <f t="shared" si="65"/>
        <v/>
      </c>
      <c r="H214" s="195" t="str">
        <f t="shared" si="65"/>
        <v/>
      </c>
      <c r="I214" s="196" t="str">
        <f t="shared" si="65"/>
        <v/>
      </c>
      <c r="J214" s="194" t="str">
        <f t="shared" si="65"/>
        <v/>
      </c>
      <c r="K214" s="195" t="str">
        <f t="shared" si="65"/>
        <v/>
      </c>
      <c r="L214" s="196" t="str">
        <f t="shared" si="65"/>
        <v/>
      </c>
      <c r="M214" s="194" t="str">
        <f t="shared" si="65"/>
        <v/>
      </c>
      <c r="N214" s="195" t="str">
        <f t="shared" si="65"/>
        <v/>
      </c>
      <c r="O214" s="196" t="str">
        <f t="shared" si="65"/>
        <v/>
      </c>
      <c r="P214" s="197" t="s">
        <v>35</v>
      </c>
      <c r="Q214" s="198"/>
      <c r="R214" s="198" t="s">
        <v>36</v>
      </c>
      <c r="S214" s="198"/>
      <c r="T214" s="199" t="s">
        <v>31</v>
      </c>
      <c r="U214" s="127">
        <f>IFERROR(VLOOKUP('Tab Summary'!L213,TeamRecord,4,FALSE ),0)</f>
        <v>0</v>
      </c>
      <c r="V214" s="128">
        <f>IFERROR(VLOOKUP('Tab Summary'!O213,TeamRecord,4,FALSE ),0)</f>
        <v>0</v>
      </c>
      <c r="W214" s="129">
        <f>IFERROR(VLOOKUP('Tab Summary'!L213,TeamRecord,6,FALSE ),0)</f>
        <v>0</v>
      </c>
      <c r="X214" s="127">
        <f>IFERROR(VLOOKUP('Tab Summary'!O213,TeamRecord,6,FALSE ),0)</f>
        <v>0</v>
      </c>
      <c r="Y214" s="171">
        <f>IF(Y213&lt;&gt;0,(IF(COUNTIF('Ballot Entry'!$Z$3:$Z$35,'Tab Summary'!P215)=2,IF(P215=W213,IF(COUNTIF(D214:F214,"W")&gt;COUNTIF(D214:F214,"L"),1,0),0)+IF(P215=X213,IF(COUNTIF(G214:I214,"W")&gt;COUNTIF(G214:I214,"L"),1,0),0)+IF(P215=W214,IF(COUNTIF(J214:L214,"W")&gt;COUNTIF(J214:L214,"L"),1,0),0)+IF(P215=X214,IF(COUNTIF(M214:O214,"W")&gt;COUNTIF(M214:O214,"L"),1,0),0),0)),0)</f>
        <v>0</v>
      </c>
      <c r="Z214" s="259" t="str">
        <f>IF(Teams&gt;65,"Show", "Hide")</f>
        <v>Hide</v>
      </c>
      <c r="AA214" s="158"/>
      <c r="AB214" s="158"/>
      <c r="AC214" s="159"/>
      <c r="AD214" s="159"/>
      <c r="AE214" s="158"/>
      <c r="AF214" s="158"/>
      <c r="AG214" s="159"/>
      <c r="AH214" s="159"/>
      <c r="AI214" s="159"/>
      <c r="AJ214" s="159"/>
      <c r="AK214" s="159"/>
      <c r="AL214" s="159"/>
      <c r="AM214" s="159"/>
      <c r="AN214" s="159"/>
      <c r="AO214" s="159"/>
      <c r="AP214" s="159"/>
      <c r="AQ214" s="159"/>
    </row>
    <row r="215" spans="1:43" s="151" customFormat="1" ht="13.5" hidden="1" customHeight="1" thickBot="1" x14ac:dyDescent="0.3">
      <c r="A215" s="427"/>
      <c r="B215" s="428"/>
      <c r="C215" s="429"/>
      <c r="D215" s="200" t="str">
        <f>IFERROR(IF(D213="Π",VLOOKUP($A213, Round1P,3,FALSE),VLOOKUP($A213,Round1D,3,FALSE)),"")</f>
        <v/>
      </c>
      <c r="E215" s="201" t="str">
        <f>IFERROR(IF(Ballots=3,IF(D213="Π",VLOOKUP($A213, Round1P,5,FALSE),VLOOKUP($A213,Round1D,5,FALSE)),""),"")</f>
        <v/>
      </c>
      <c r="F215" s="202" t="str">
        <f>IFERROR(IF(D213="Π",VLOOKUP($A213, Round1P,4,FALSE),VLOOKUP($A213,Round1D,4,FALSE)),"")</f>
        <v/>
      </c>
      <c r="G215" s="200" t="str">
        <f>IFERROR(IF(G213="Π",VLOOKUP($A213, Round2P,3,FALSE),VLOOKUP($A213,Round2D,3,FALSE)),"")</f>
        <v/>
      </c>
      <c r="H215" s="201" t="str">
        <f>IFERROR(IF(Ballots=3,IF(G213="Π",VLOOKUP($A213, Round2P,5,FALSE),VLOOKUP($A213,Round2D,5,FALSE)),""),"")</f>
        <v/>
      </c>
      <c r="I215" s="202" t="str">
        <f>IFERROR(IF(G213="Π",VLOOKUP($A213, Round2P,4,FALSE),VLOOKUP($A213,Round2D,4,FALSE)),"")</f>
        <v/>
      </c>
      <c r="J215" s="200" t="str">
        <f>IFERROR(IF(J213="Π",VLOOKUP($A213, Round3P,3,FALSE),VLOOKUP($A213,Round3D,3,FALSE)),"")</f>
        <v/>
      </c>
      <c r="K215" s="201" t="str">
        <f>IFERROR(IF(Ballots=3,IF(J213="Π",VLOOKUP($A213, Round3P,5,FALSE),VLOOKUP($A213,Round3D,5,FALSE)),""),"")</f>
        <v/>
      </c>
      <c r="L215" s="202" t="str">
        <f>IFERROR(IF(J213="Π",VLOOKUP($A213, Round3P,4,FALSE),VLOOKUP($A213,Round3D,4,FALSE)),"")</f>
        <v/>
      </c>
      <c r="M215" s="200" t="str">
        <f>IFERROR(IF(M213="Π",VLOOKUP($A213, Round4P,3,FALSE),VLOOKUP($A213,Round4D,3,FALSE)),"")</f>
        <v/>
      </c>
      <c r="N215" s="201" t="str">
        <f>IFERROR(IF(Ballots=3,IF(M213="Π",VLOOKUP($A213, Round4P,5,FALSE),VLOOKUP($A213,Round4D,5,FALSE)),""),"")</f>
        <v/>
      </c>
      <c r="O215" s="202" t="str">
        <f>IFERROR(IF(M213="Π",VLOOKUP($A213, Round4P,4,FALSE),VLOOKUP($A213,Round4D,4,FALSE)),"")</f>
        <v/>
      </c>
      <c r="P215" s="203">
        <f>'Tab Summary'!U213+'Tab Summary'!V213+'Tab Summary'!U214+'Tab Summary'!V214</f>
        <v>0</v>
      </c>
      <c r="Q215" s="204"/>
      <c r="R215" s="205">
        <f>SUM('Tab Summary'!W213:X214)</f>
        <v>0</v>
      </c>
      <c r="S215" s="206"/>
      <c r="T215" s="207">
        <f>SUM(D215:O215)</f>
        <v>0</v>
      </c>
      <c r="U215" s="130" t="s">
        <v>67</v>
      </c>
      <c r="V215" s="131">
        <f>IF(D213="Π",COUNTIF(D214:F214,"W"),0)+IF(G213="Π",COUNTIF(G214:I214,"W"),0)+IF(J213="Π",COUNTIF(J214:L214,"W"),0)+IF(M213="Π",COUNTIF(M214:O214,"W"),0)</f>
        <v>0</v>
      </c>
      <c r="W215" s="132" t="s">
        <v>68</v>
      </c>
      <c r="X215" s="130">
        <f>IF(D213="Δ",COUNTIF(D214:F214,"W"),0)+IF(G213="Δ",COUNTIF(G214:I214,"W"),0)+IF(J213="Δ",COUNTIF(J214:L214,"W"),0)+IF(M213="Δ",COUNTIF(M214:O214,"W"),0)</f>
        <v>0</v>
      </c>
      <c r="Y215" s="171"/>
      <c r="Z215" s="259" t="str">
        <f>IF(Teams&gt;65,"Show", "Hide")</f>
        <v>Hide</v>
      </c>
      <c r="AA215" s="158"/>
      <c r="AB215" s="158"/>
      <c r="AC215" s="159"/>
      <c r="AD215" s="159"/>
      <c r="AE215" s="158"/>
      <c r="AF215" s="158"/>
      <c r="AG215" s="159"/>
      <c r="AH215" s="159"/>
      <c r="AI215" s="159"/>
      <c r="AJ215" s="159"/>
      <c r="AK215" s="159"/>
      <c r="AL215" s="159"/>
      <c r="AM215" s="159"/>
      <c r="AN215" s="159"/>
      <c r="AO215" s="159"/>
      <c r="AP215" s="159"/>
      <c r="AQ215" s="159"/>
    </row>
    <row r="216" spans="1:43" s="151" customFormat="1" ht="13.5" hidden="1" customHeight="1" x14ac:dyDescent="0.25">
      <c r="A216" s="430">
        <f>'Tournament Info'!C81</f>
        <v>0</v>
      </c>
      <c r="B216" s="431"/>
      <c r="C216" s="432"/>
      <c r="D216" s="163" t="str">
        <f>IF(COUNTIF('Ballot Entry'!$M$3:$M$37,$A216)=1,"Π",IF(COUNTIF('Ballot Entry'!$N$3:$N$37,$A216)=1,"Δ",""))</f>
        <v/>
      </c>
      <c r="E216" s="164" t="s">
        <v>30</v>
      </c>
      <c r="F216" s="165" t="str">
        <f>IFERROR(IF(D216="Π",VLOOKUP($A216, Round1P,2,FALSE),VLOOKUP($A216,Round1D,2,FALSE)),"")</f>
        <v/>
      </c>
      <c r="G216" s="163" t="str">
        <f>IF(COUNTIF('Ballot Entry'!$M$109:$M$143,$A216)=1,"Π",IF(COUNTIF('Ballot Entry'!$N$109:$N$143,$A216)=1,"Δ",""))</f>
        <v/>
      </c>
      <c r="H216" s="164" t="s">
        <v>30</v>
      </c>
      <c r="I216" s="165" t="str">
        <f>IFERROR(IF(G216="Π",VLOOKUP($A216, Round2P,2,FALSE),VLOOKUP($A216,Round2D,2,FALSE)),"")</f>
        <v/>
      </c>
      <c r="J216" s="163" t="str">
        <f>IF(COUNTIF('Ballot Entry'!$M$215:$M$249,$A216)=1,"Π",IF(COUNTIF('Ballot Entry'!$N$215:$N$249,$A216)=1,"Δ",""))</f>
        <v/>
      </c>
      <c r="K216" s="164" t="s">
        <v>30</v>
      </c>
      <c r="L216" s="165" t="str">
        <f>IFERROR(IF(J216="Π",VLOOKUP($A216, Round3P,2,FALSE),VLOOKUP($A216,Round3D,2,FALSE)),"")</f>
        <v/>
      </c>
      <c r="M216" s="163" t="str">
        <f>IF(COUNTIF('Ballot Entry'!$M$321:$M$355,$A216)=1,"Π",IF(COUNTIF('Ballot Entry'!$N$321:$N$355,$A216)=1,"Δ",""))</f>
        <v/>
      </c>
      <c r="N216" s="164" t="s">
        <v>30</v>
      </c>
      <c r="O216" s="165" t="str">
        <f>IFERROR(IF(M216="Π",VLOOKUP($A216, Round4P,2,FALSE),VLOOKUP($A216,Round4D,2,FALSE)),"")</f>
        <v/>
      </c>
      <c r="P216" s="166">
        <f>COUNTIF(D217:O217,"W")</f>
        <v>0</v>
      </c>
      <c r="Q216" s="167" t="s">
        <v>34</v>
      </c>
      <c r="R216" s="168">
        <f>COUNTIF(D217:O217,"L")</f>
        <v>0</v>
      </c>
      <c r="S216" s="169" t="s">
        <v>34</v>
      </c>
      <c r="T216" s="170">
        <f>COUNTIF(D217:O217,"T")</f>
        <v>0</v>
      </c>
      <c r="U216" s="124">
        <f>IFERROR(VLOOKUP('Tab Summary'!F216,TeamRecord,4,FALSE ),0)</f>
        <v>0</v>
      </c>
      <c r="V216" s="125">
        <f>IFERROR(VLOOKUP('Tab Summary'!I216,TeamRecord,4,FALSE ),0)</f>
        <v>0</v>
      </c>
      <c r="W216" s="126">
        <f>IFERROR(VLOOKUP('Tab Summary'!F216,TeamRecord,6,FALSE ),0)</f>
        <v>0</v>
      </c>
      <c r="X216" s="124">
        <f>IFERROR(VLOOKUP('Tab Summary'!I216,TeamRecord,6,FALSE ),0)</f>
        <v>0</v>
      </c>
      <c r="Y216" s="171">
        <f>IF(COUNTIF('Ballot Entry'!$X$3:$X$221,(P216+(T216/2)))=2,IF((P216+(T216/2))=U216,IF(COUNTIF(D217:F217,"W")&gt;COUNTIF(D217:F217,"L"),F216,0),0)+IF((P216+(T216/2))=V216,IF(COUNTIF(G217:I217,"W")&gt;COUNTIF(G217:I217,"L"),I216,0),0)+IF((P216+(T216/2))=U217,IF(COUNTIF(J217:L217,"W")&gt;COUNTIF(J217:L217,"L"),L216,0),0)+IF((P216+(T216/2))=V217,IF(COUNTIF(M217:O217,"W")&gt;COUNTIF(M217:O217,"L"),O216,0),0),0)</f>
        <v>0</v>
      </c>
      <c r="Z216" s="259" t="str">
        <f>IF(Teams&gt;66,"Show", "Hide")</f>
        <v>Hide</v>
      </c>
      <c r="AA216" s="158"/>
      <c r="AB216" s="158"/>
      <c r="AC216" s="159"/>
      <c r="AD216" s="159"/>
      <c r="AE216" s="158"/>
      <c r="AF216" s="158"/>
      <c r="AG216" s="159"/>
      <c r="AH216" s="159"/>
      <c r="AI216" s="159"/>
      <c r="AJ216" s="159"/>
      <c r="AK216" s="159"/>
      <c r="AL216" s="159"/>
      <c r="AM216" s="159"/>
      <c r="AN216" s="159"/>
      <c r="AO216" s="159"/>
      <c r="AP216" s="159"/>
      <c r="AQ216" s="159"/>
    </row>
    <row r="217" spans="1:43" s="151" customFormat="1" ht="13.5" hidden="1" customHeight="1" x14ac:dyDescent="0.25">
      <c r="A217" s="442">
        <f>'Tournament Info'!B81</f>
        <v>0</v>
      </c>
      <c r="B217" s="434"/>
      <c r="C217" s="435"/>
      <c r="D217" s="172" t="str">
        <f t="shared" ref="D217:O217" si="66">IF(D218="","",IF(D218&gt;0,"W",IF(D218&lt;0,"L",IF(D218=0,"T"))))</f>
        <v/>
      </c>
      <c r="E217" s="173" t="str">
        <f t="shared" si="66"/>
        <v/>
      </c>
      <c r="F217" s="174" t="str">
        <f t="shared" si="66"/>
        <v/>
      </c>
      <c r="G217" s="172" t="str">
        <f t="shared" si="66"/>
        <v/>
      </c>
      <c r="H217" s="173" t="str">
        <f t="shared" si="66"/>
        <v/>
      </c>
      <c r="I217" s="174" t="str">
        <f t="shared" si="66"/>
        <v/>
      </c>
      <c r="J217" s="172" t="str">
        <f t="shared" si="66"/>
        <v/>
      </c>
      <c r="K217" s="173" t="str">
        <f t="shared" si="66"/>
        <v/>
      </c>
      <c r="L217" s="174" t="str">
        <f t="shared" si="66"/>
        <v/>
      </c>
      <c r="M217" s="172" t="str">
        <f t="shared" si="66"/>
        <v/>
      </c>
      <c r="N217" s="173" t="str">
        <f t="shared" si="66"/>
        <v/>
      </c>
      <c r="O217" s="174" t="str">
        <f t="shared" si="66"/>
        <v/>
      </c>
      <c r="P217" s="175" t="s">
        <v>35</v>
      </c>
      <c r="Q217" s="176"/>
      <c r="R217" s="176" t="s">
        <v>36</v>
      </c>
      <c r="S217" s="176"/>
      <c r="T217" s="177" t="s">
        <v>31</v>
      </c>
      <c r="U217" s="127">
        <f>IFERROR(VLOOKUP('Tab Summary'!L216,TeamRecord,4,FALSE ),0)</f>
        <v>0</v>
      </c>
      <c r="V217" s="128">
        <f>IFERROR(VLOOKUP('Tab Summary'!O216,TeamRecord,4,FALSE ),0)</f>
        <v>0</v>
      </c>
      <c r="W217" s="129">
        <f>IFERROR(VLOOKUP('Tab Summary'!L216,TeamRecord,6,FALSE ),0)</f>
        <v>0</v>
      </c>
      <c r="X217" s="127">
        <f>IFERROR(VLOOKUP('Tab Summary'!O216,TeamRecord,6,FALSE ),0)</f>
        <v>0</v>
      </c>
      <c r="Y217" s="171">
        <f>IF(Y216&lt;&gt;0,(IF(COUNTIF('Ballot Entry'!$Z$3:$Z$35,'Tab Summary'!P218)=2,IF(P218=W216,IF(COUNTIF(D217:F217,"W")&gt;COUNTIF(D217:F217,"L"),1,0),0)+IF(P218=X216,IF(COUNTIF(G217:I217,"W")&gt;COUNTIF(G217:I217,"L"),1,0),0)+IF(P218=W217,IF(COUNTIF(J217:L217,"W")&gt;COUNTIF(J217:L217,"L"),1,0),0)+IF(P218=X217,IF(COUNTIF(M217:O217,"W")&gt;COUNTIF(M217:O217,"L"),1,0),0),0)),0)</f>
        <v>0</v>
      </c>
      <c r="Z217" s="259" t="str">
        <f>IF(Teams&gt;66,"Show", "Hide")</f>
        <v>Hide</v>
      </c>
      <c r="AA217" s="158"/>
      <c r="AB217" s="158"/>
      <c r="AC217" s="159"/>
      <c r="AD217" s="159"/>
      <c r="AE217" s="158"/>
      <c r="AF217" s="158"/>
      <c r="AG217" s="159"/>
      <c r="AH217" s="159"/>
      <c r="AI217" s="159"/>
      <c r="AJ217" s="159"/>
      <c r="AK217" s="159"/>
      <c r="AL217" s="159"/>
      <c r="AM217" s="159"/>
      <c r="AN217" s="159"/>
      <c r="AO217" s="159"/>
      <c r="AP217" s="159"/>
      <c r="AQ217" s="159"/>
    </row>
    <row r="218" spans="1:43" s="151" customFormat="1" ht="13.5" hidden="1" customHeight="1" thickBot="1" x14ac:dyDescent="0.3">
      <c r="A218" s="436"/>
      <c r="B218" s="437"/>
      <c r="C218" s="438"/>
      <c r="D218" s="178" t="str">
        <f>IFERROR(IF(D216="Π",VLOOKUP($A216, Round1P,3,FALSE),VLOOKUP($A216,Round1D,3,FALSE)),"")</f>
        <v/>
      </c>
      <c r="E218" s="179" t="str">
        <f>IFERROR(IF(Ballots=3,IF(D216="Π",VLOOKUP($A216, Round1P,5,FALSE),VLOOKUP($A216,Round1D,5,FALSE)),""),"")</f>
        <v/>
      </c>
      <c r="F218" s="180" t="str">
        <f>IFERROR(IF(D216="Π",VLOOKUP($A216, Round1P,4,FALSE),VLOOKUP($A216,Round1D,4,FALSE)),"")</f>
        <v/>
      </c>
      <c r="G218" s="178" t="str">
        <f>IFERROR(IF(G216="Π",VLOOKUP($A216, Round2P,3,FALSE),VLOOKUP($A216,Round2D,3,FALSE)),"")</f>
        <v/>
      </c>
      <c r="H218" s="179" t="str">
        <f>IFERROR(IF(Ballots=3,IF(G216="Π",VLOOKUP($A216, Round2P,5,FALSE),VLOOKUP($A216,Round2D,5,FALSE)),""),"")</f>
        <v/>
      </c>
      <c r="I218" s="180" t="str">
        <f>IFERROR(IF(G216="Π",VLOOKUP($A216, Round2P,4,FALSE),VLOOKUP($A216,Round2D,4,FALSE)),"")</f>
        <v/>
      </c>
      <c r="J218" s="178" t="str">
        <f>IFERROR(IF(J216="Π",VLOOKUP($A216, Round3P,3,FALSE),VLOOKUP($A216,Round3D,3,FALSE)),"")</f>
        <v/>
      </c>
      <c r="K218" s="179" t="str">
        <f>IFERROR(IF(Ballots=3,IF(J216="Π",VLOOKUP($A216, Round3P,5,FALSE),VLOOKUP($A216,Round3D,5,FALSE)),""),"")</f>
        <v/>
      </c>
      <c r="L218" s="180" t="str">
        <f>IFERROR(IF(J216="Π",VLOOKUP($A216, Round3P,4,FALSE),VLOOKUP($A216,Round3D,4,FALSE)),"")</f>
        <v/>
      </c>
      <c r="M218" s="178" t="str">
        <f>IFERROR(IF(M216="Π",VLOOKUP($A216, Round4P,3,FALSE),VLOOKUP($A216,Round4D,3,FALSE)),"")</f>
        <v/>
      </c>
      <c r="N218" s="179" t="str">
        <f>IFERROR(IF(Ballots=3,IF(M216="Π",VLOOKUP($A216, Round4P,5,FALSE),VLOOKUP($A216,Round4D,5,FALSE)),""),"")</f>
        <v/>
      </c>
      <c r="O218" s="180" t="str">
        <f>IFERROR(IF(M216="Π",VLOOKUP($A216, Round4P,4,FALSE),VLOOKUP($A216,Round4D,4,FALSE)),"")</f>
        <v/>
      </c>
      <c r="P218" s="181">
        <f>'Tab Summary'!U216+'Tab Summary'!V216+'Tab Summary'!U217+'Tab Summary'!V217</f>
        <v>0</v>
      </c>
      <c r="Q218" s="182"/>
      <c r="R218" s="183">
        <f>SUM('Tab Summary'!W216:X217)</f>
        <v>0</v>
      </c>
      <c r="S218" s="184"/>
      <c r="T218" s="185">
        <f>SUM(D218:O218)</f>
        <v>0</v>
      </c>
      <c r="U218" s="130" t="s">
        <v>67</v>
      </c>
      <c r="V218" s="131">
        <f>IF(D216="Π",COUNTIF(D217:F217,"W"),0)+IF(G216="Π",COUNTIF(G217:I217,"W"),0)+IF(J216="Π",COUNTIF(J217:L217,"W"),0)+IF(M216="Π",COUNTIF(M217:O217,"W"),0)</f>
        <v>0</v>
      </c>
      <c r="W218" s="132" t="s">
        <v>68</v>
      </c>
      <c r="X218" s="130">
        <f>IF(D216="Δ",COUNTIF(D217:F217,"W"),0)+IF(G216="Δ",COUNTIF(G217:I217,"W"),0)+IF(J216="Δ",COUNTIF(J217:L217,"W"),0)+IF(M216="Δ",COUNTIF(M217:O217,"W"),0)</f>
        <v>0</v>
      </c>
      <c r="Y218" s="171"/>
      <c r="Z218" s="259" t="str">
        <f>IF(Teams&gt;66,"Show", "Hide")</f>
        <v>Hide</v>
      </c>
      <c r="AA218" s="158"/>
      <c r="AB218" s="158"/>
      <c r="AC218" s="159"/>
      <c r="AD218" s="159"/>
      <c r="AE218" s="158"/>
      <c r="AF218" s="158"/>
      <c r="AG218" s="159"/>
      <c r="AH218" s="159"/>
      <c r="AI218" s="159"/>
      <c r="AJ218" s="159"/>
      <c r="AK218" s="159"/>
      <c r="AL218" s="159"/>
      <c r="AM218" s="159"/>
      <c r="AN218" s="159"/>
      <c r="AO218" s="159"/>
      <c r="AP218" s="159"/>
      <c r="AQ218" s="159"/>
    </row>
    <row r="219" spans="1:43" s="151" customFormat="1" ht="13.5" hidden="1" customHeight="1" x14ac:dyDescent="0.25">
      <c r="A219" s="439">
        <f>'Tournament Info'!C82</f>
        <v>0</v>
      </c>
      <c r="B219" s="440"/>
      <c r="C219" s="441"/>
      <c r="D219" s="186" t="str">
        <f>IF(COUNTIF('Ballot Entry'!$M$3:$M$37,$A219)=1,"Π",IF(COUNTIF('Ballot Entry'!$N$3:$N$37,$A219)=1,"Δ",""))</f>
        <v/>
      </c>
      <c r="E219" s="187" t="s">
        <v>30</v>
      </c>
      <c r="F219" s="188" t="str">
        <f>IFERROR(IF(D219="Π",VLOOKUP($A219, Round1P,2,FALSE),VLOOKUP($A219,Round1D,2,FALSE)),"")</f>
        <v/>
      </c>
      <c r="G219" s="186" t="str">
        <f>IF(COUNTIF('Ballot Entry'!$M$109:$M$143,$A219)=1,"Π",IF(COUNTIF('Ballot Entry'!$N$109:$N$143,$A219)=1,"Δ",""))</f>
        <v/>
      </c>
      <c r="H219" s="187" t="s">
        <v>30</v>
      </c>
      <c r="I219" s="188" t="str">
        <f>IFERROR(IF(G219="Π",VLOOKUP($A219, Round2P,2,FALSE),VLOOKUP($A219,Round2D,2,FALSE)),"")</f>
        <v/>
      </c>
      <c r="J219" s="186" t="str">
        <f>IF(COUNTIF('Ballot Entry'!$M$215:$M$249,$A219)=1,"Π",IF(COUNTIF('Ballot Entry'!$N$215:$N$249,$A219)=1,"Δ",""))</f>
        <v/>
      </c>
      <c r="K219" s="187" t="s">
        <v>30</v>
      </c>
      <c r="L219" s="188" t="str">
        <f>IFERROR(IF(J219="Π",VLOOKUP($A219, Round3P,2,FALSE),VLOOKUP($A219,Round3D,2,FALSE)),"")</f>
        <v/>
      </c>
      <c r="M219" s="186" t="str">
        <f>IF(COUNTIF('Ballot Entry'!$M$321:$M$355,$A219)=1,"Π",IF(COUNTIF('Ballot Entry'!$N$321:$N$355,$A219)=1,"Δ",""))</f>
        <v/>
      </c>
      <c r="N219" s="187" t="s">
        <v>30</v>
      </c>
      <c r="O219" s="188" t="str">
        <f>IFERROR(IF(M219="Π",VLOOKUP($A219, Round4P,2,FALSE),VLOOKUP($A219,Round4D,2,FALSE)),"")</f>
        <v/>
      </c>
      <c r="P219" s="189">
        <f>COUNTIF(D220:O220,"W")</f>
        <v>0</v>
      </c>
      <c r="Q219" s="190" t="s">
        <v>34</v>
      </c>
      <c r="R219" s="191">
        <f>COUNTIF(D220:O220,"L")</f>
        <v>0</v>
      </c>
      <c r="S219" s="192" t="s">
        <v>34</v>
      </c>
      <c r="T219" s="193">
        <f>COUNTIF(D220:O220,"T")</f>
        <v>0</v>
      </c>
      <c r="U219" s="124">
        <f>IFERROR(VLOOKUP('Tab Summary'!F219,TeamRecord,4,FALSE ),0)</f>
        <v>0</v>
      </c>
      <c r="V219" s="125">
        <f>IFERROR(VLOOKUP('Tab Summary'!I219,TeamRecord,4,FALSE ),0)</f>
        <v>0</v>
      </c>
      <c r="W219" s="126">
        <f>IFERROR(VLOOKUP('Tab Summary'!F219,TeamRecord,6,FALSE ),0)</f>
        <v>0</v>
      </c>
      <c r="X219" s="124">
        <f>IFERROR(VLOOKUP('Tab Summary'!I219,TeamRecord,6,FALSE ),0)</f>
        <v>0</v>
      </c>
      <c r="Y219" s="171">
        <f>IF(COUNTIF('Ballot Entry'!$X$3:$X$221,(P219+(T219/2)))=2,IF((P219+(T219/2))=U219,IF(COUNTIF(D220:F220,"W")&gt;COUNTIF(D220:F220,"L"),F219,0),0)+IF((P219+(T219/2))=V219,IF(COUNTIF(G220:I220,"W")&gt;COUNTIF(G220:I220,"L"),I219,0),0)+IF((P219+(T219/2))=U220,IF(COUNTIF(J220:L220,"W")&gt;COUNTIF(J220:L220,"L"),L219,0),0)+IF((P219+(T219/2))=V220,IF(COUNTIF(M220:O220,"W")&gt;COUNTIF(M220:O220,"L"),O219,0),0),0)</f>
        <v>0</v>
      </c>
      <c r="Z219" s="259" t="str">
        <f>IF(Teams&gt;67,"Show", "Hide")</f>
        <v>Hide</v>
      </c>
      <c r="AA219" s="158"/>
      <c r="AB219" s="158"/>
      <c r="AC219" s="159"/>
      <c r="AD219" s="159"/>
      <c r="AE219" s="158"/>
      <c r="AF219" s="158"/>
      <c r="AG219" s="159"/>
      <c r="AH219" s="159"/>
      <c r="AI219" s="159"/>
      <c r="AJ219" s="159"/>
      <c r="AK219" s="159"/>
      <c r="AL219" s="159"/>
      <c r="AM219" s="159"/>
      <c r="AN219" s="159"/>
      <c r="AO219" s="159"/>
      <c r="AP219" s="159"/>
      <c r="AQ219" s="159"/>
    </row>
    <row r="220" spans="1:43" s="151" customFormat="1" ht="13.5" hidden="1" customHeight="1" x14ac:dyDescent="0.25">
      <c r="A220" s="443">
        <f>'Tournament Info'!B82</f>
        <v>0</v>
      </c>
      <c r="B220" s="425"/>
      <c r="C220" s="426"/>
      <c r="D220" s="194" t="str">
        <f t="shared" ref="D220:O220" si="67">IF(D221="","",IF(D221&gt;0,"W",IF(D221&lt;0,"L",IF(D221=0,"T"))))</f>
        <v/>
      </c>
      <c r="E220" s="195" t="str">
        <f t="shared" si="67"/>
        <v/>
      </c>
      <c r="F220" s="196" t="str">
        <f t="shared" si="67"/>
        <v/>
      </c>
      <c r="G220" s="194" t="str">
        <f t="shared" si="67"/>
        <v/>
      </c>
      <c r="H220" s="195" t="str">
        <f t="shared" si="67"/>
        <v/>
      </c>
      <c r="I220" s="196" t="str">
        <f t="shared" si="67"/>
        <v/>
      </c>
      <c r="J220" s="194" t="str">
        <f t="shared" si="67"/>
        <v/>
      </c>
      <c r="K220" s="195" t="str">
        <f t="shared" si="67"/>
        <v/>
      </c>
      <c r="L220" s="196" t="str">
        <f t="shared" si="67"/>
        <v/>
      </c>
      <c r="M220" s="194" t="str">
        <f t="shared" si="67"/>
        <v/>
      </c>
      <c r="N220" s="195" t="str">
        <f t="shared" si="67"/>
        <v/>
      </c>
      <c r="O220" s="196" t="str">
        <f t="shared" si="67"/>
        <v/>
      </c>
      <c r="P220" s="197" t="s">
        <v>35</v>
      </c>
      <c r="Q220" s="198"/>
      <c r="R220" s="198" t="s">
        <v>36</v>
      </c>
      <c r="S220" s="198"/>
      <c r="T220" s="199" t="s">
        <v>31</v>
      </c>
      <c r="U220" s="127">
        <f>IFERROR(VLOOKUP('Tab Summary'!L219,TeamRecord,4,FALSE ),0)</f>
        <v>0</v>
      </c>
      <c r="V220" s="128">
        <f>IFERROR(VLOOKUP('Tab Summary'!O219,TeamRecord,4,FALSE ),0)</f>
        <v>0</v>
      </c>
      <c r="W220" s="129">
        <f>IFERROR(VLOOKUP('Tab Summary'!L219,TeamRecord,6,FALSE ),0)</f>
        <v>0</v>
      </c>
      <c r="X220" s="127">
        <f>IFERROR(VLOOKUP('Tab Summary'!O219,TeamRecord,6,FALSE ),0)</f>
        <v>0</v>
      </c>
      <c r="Y220" s="171">
        <f>IF(Y219&lt;&gt;0,(IF(COUNTIF('Ballot Entry'!$Z$3:$Z$35,'Tab Summary'!P221)=2,IF(P221=W219,IF(COUNTIF(D220:F220,"W")&gt;COUNTIF(D220:F220,"L"),1,0),0)+IF(P221=X219,IF(COUNTIF(G220:I220,"W")&gt;COUNTIF(G220:I220,"L"),1,0),0)+IF(P221=W220,IF(COUNTIF(J220:L220,"W")&gt;COUNTIF(J220:L220,"L"),1,0),0)+IF(P221=X220,IF(COUNTIF(M220:O220,"W")&gt;COUNTIF(M220:O220,"L"),1,0),0),0)),0)</f>
        <v>0</v>
      </c>
      <c r="Z220" s="259" t="str">
        <f>IF(Teams&gt;67,"Show", "Hide")</f>
        <v>Hide</v>
      </c>
      <c r="AA220" s="158"/>
      <c r="AB220" s="158"/>
      <c r="AC220" s="159"/>
      <c r="AD220" s="159"/>
      <c r="AE220" s="158"/>
      <c r="AF220" s="158"/>
      <c r="AG220" s="159"/>
      <c r="AH220" s="159"/>
      <c r="AI220" s="159"/>
      <c r="AJ220" s="159"/>
      <c r="AK220" s="159"/>
      <c r="AL220" s="159"/>
      <c r="AM220" s="159"/>
      <c r="AN220" s="159"/>
      <c r="AO220" s="159"/>
      <c r="AP220" s="159"/>
      <c r="AQ220" s="159"/>
    </row>
    <row r="221" spans="1:43" s="151" customFormat="1" ht="13.5" hidden="1" customHeight="1" thickBot="1" x14ac:dyDescent="0.3">
      <c r="A221" s="427"/>
      <c r="B221" s="428"/>
      <c r="C221" s="429"/>
      <c r="D221" s="200" t="str">
        <f>IFERROR(IF(D219="Π",VLOOKUP($A219, Round1P,3,FALSE),VLOOKUP($A219,Round1D,3,FALSE)),"")</f>
        <v/>
      </c>
      <c r="E221" s="201" t="str">
        <f>IFERROR(IF(Ballots=3,IF(D219="Π",VLOOKUP($A219, Round1P,5,FALSE),VLOOKUP($A219,Round1D,5,FALSE)),""),"")</f>
        <v/>
      </c>
      <c r="F221" s="202" t="str">
        <f>IFERROR(IF(D219="Π",VLOOKUP($A219, Round1P,4,FALSE),VLOOKUP($A219,Round1D,4,FALSE)),"")</f>
        <v/>
      </c>
      <c r="G221" s="200" t="str">
        <f>IFERROR(IF(G219="Π",VLOOKUP($A219, Round2P,3,FALSE),VLOOKUP($A219,Round2D,3,FALSE)),"")</f>
        <v/>
      </c>
      <c r="H221" s="201" t="str">
        <f>IFERROR(IF(Ballots=3,IF(G219="Π",VLOOKUP($A219, Round2P,5,FALSE),VLOOKUP($A219,Round2D,5,FALSE)),""),"")</f>
        <v/>
      </c>
      <c r="I221" s="202" t="str">
        <f>IFERROR(IF(G219="Π",VLOOKUP($A219, Round2P,4,FALSE),VLOOKUP($A219,Round2D,4,FALSE)),"")</f>
        <v/>
      </c>
      <c r="J221" s="200" t="str">
        <f>IFERROR(IF(J219="Π",VLOOKUP($A219, Round3P,3,FALSE),VLOOKUP($A219,Round3D,3,FALSE)),"")</f>
        <v/>
      </c>
      <c r="K221" s="201" t="str">
        <f>IFERROR(IF(Ballots=3,IF(J219="Π",VLOOKUP($A219, Round3P,5,FALSE),VLOOKUP($A219,Round3D,5,FALSE)),""),"")</f>
        <v/>
      </c>
      <c r="L221" s="202" t="str">
        <f>IFERROR(IF(J219="Π",VLOOKUP($A219, Round3P,4,FALSE),VLOOKUP($A219,Round3D,4,FALSE)),"")</f>
        <v/>
      </c>
      <c r="M221" s="200" t="str">
        <f>IFERROR(IF(M219="Π",VLOOKUP($A219, Round4P,3,FALSE),VLOOKUP($A219,Round4D,3,FALSE)),"")</f>
        <v/>
      </c>
      <c r="N221" s="201" t="str">
        <f>IFERROR(IF(Ballots=3,IF(M219="Π",VLOOKUP($A219, Round4P,5,FALSE),VLOOKUP($A219,Round4D,5,FALSE)),""),"")</f>
        <v/>
      </c>
      <c r="O221" s="202" t="str">
        <f>IFERROR(IF(M219="Π",VLOOKUP($A219, Round4P,4,FALSE),VLOOKUP($A219,Round4D,4,FALSE)),"")</f>
        <v/>
      </c>
      <c r="P221" s="203">
        <f>'Tab Summary'!U219+'Tab Summary'!V219+'Tab Summary'!U220+'Tab Summary'!V220</f>
        <v>0</v>
      </c>
      <c r="Q221" s="204"/>
      <c r="R221" s="205">
        <f>SUM('Tab Summary'!W219:X220)</f>
        <v>0</v>
      </c>
      <c r="S221" s="206"/>
      <c r="T221" s="207">
        <f>SUM(D221:O221)</f>
        <v>0</v>
      </c>
      <c r="U221" s="130" t="s">
        <v>67</v>
      </c>
      <c r="V221" s="131">
        <f>IF(D219="Π",COUNTIF(D220:F220,"W"),0)+IF(G219="Π",COUNTIF(G220:I220,"W"),0)+IF(J219="Π",COUNTIF(J220:L220,"W"),0)+IF(M219="Π",COUNTIF(M220:O220,"W"),0)</f>
        <v>0</v>
      </c>
      <c r="W221" s="132" t="s">
        <v>68</v>
      </c>
      <c r="X221" s="130">
        <f>IF(D219="Δ",COUNTIF(D220:F220,"W"),0)+IF(G219="Δ",COUNTIF(G220:I220,"W"),0)+IF(J219="Δ",COUNTIF(J220:L220,"W"),0)+IF(M219="Δ",COUNTIF(M220:O220,"W"),0)</f>
        <v>0</v>
      </c>
      <c r="Y221" s="171"/>
      <c r="Z221" s="259" t="str">
        <f>IF(Teams&gt;67,"Show", "Hide")</f>
        <v>Hide</v>
      </c>
      <c r="AA221" s="158"/>
      <c r="AB221" s="158"/>
      <c r="AC221" s="159"/>
      <c r="AD221" s="159"/>
      <c r="AE221" s="158"/>
      <c r="AF221" s="158"/>
      <c r="AG221" s="159"/>
      <c r="AH221" s="159"/>
      <c r="AI221" s="159"/>
      <c r="AJ221" s="159"/>
      <c r="AK221" s="159"/>
      <c r="AL221" s="159"/>
      <c r="AM221" s="159"/>
      <c r="AN221" s="159"/>
      <c r="AO221" s="159"/>
      <c r="AP221" s="159"/>
      <c r="AQ221" s="159"/>
    </row>
    <row r="222" spans="1:43" s="151" customFormat="1" ht="13.5" hidden="1" customHeight="1" x14ac:dyDescent="0.25">
      <c r="A222" s="430">
        <f>'Tournament Info'!C83</f>
        <v>0</v>
      </c>
      <c r="B222" s="431"/>
      <c r="C222" s="432"/>
      <c r="D222" s="163" t="str">
        <f>IF(COUNTIF('Ballot Entry'!$M$3:$M$37,$A222)=1,"Π",IF(COUNTIF('Ballot Entry'!$N$3:$N$37,$A222)=1,"Δ",""))</f>
        <v/>
      </c>
      <c r="E222" s="164" t="s">
        <v>30</v>
      </c>
      <c r="F222" s="165" t="str">
        <f>IFERROR(IF(D222="Π",VLOOKUP($A222, Round1P,2,FALSE),VLOOKUP($A222,Round1D,2,FALSE)),"")</f>
        <v/>
      </c>
      <c r="G222" s="163" t="str">
        <f>IF(COUNTIF('Ballot Entry'!$M$109:$M$143,$A222)=1,"Π",IF(COUNTIF('Ballot Entry'!$N$109:$N$143,$A222)=1,"Δ",""))</f>
        <v/>
      </c>
      <c r="H222" s="164" t="s">
        <v>30</v>
      </c>
      <c r="I222" s="165" t="str">
        <f>IFERROR(IF(G222="Π",VLOOKUP($A222, Round2P,2,FALSE),VLOOKUP($A222,Round2D,2,FALSE)),"")</f>
        <v/>
      </c>
      <c r="J222" s="163" t="str">
        <f>IF(COUNTIF('Ballot Entry'!$M$215:$M$249,$A222)=1,"Π",IF(COUNTIF('Ballot Entry'!$N$215:$N$249,$A222)=1,"Δ",""))</f>
        <v/>
      </c>
      <c r="K222" s="164" t="s">
        <v>30</v>
      </c>
      <c r="L222" s="165" t="str">
        <f>IFERROR(IF(J222="Π",VLOOKUP($A222, Round3P,2,FALSE),VLOOKUP($A222,Round3D,2,FALSE)),"")</f>
        <v/>
      </c>
      <c r="M222" s="163" t="str">
        <f>IF(COUNTIF('Ballot Entry'!$M$321:$M$355,$A222)=1,"Π",IF(COUNTIF('Ballot Entry'!$N$321:$N$355,$A222)=1,"Δ",""))</f>
        <v/>
      </c>
      <c r="N222" s="164" t="s">
        <v>30</v>
      </c>
      <c r="O222" s="165" t="str">
        <f>IFERROR(IF(M222="Π",VLOOKUP($A222, Round4P,2,FALSE),VLOOKUP($A222,Round4D,2,FALSE)),"")</f>
        <v/>
      </c>
      <c r="P222" s="166">
        <f>COUNTIF(D223:O223,"W")</f>
        <v>0</v>
      </c>
      <c r="Q222" s="167" t="s">
        <v>34</v>
      </c>
      <c r="R222" s="168">
        <f>COUNTIF(D223:O223,"L")</f>
        <v>0</v>
      </c>
      <c r="S222" s="169" t="s">
        <v>34</v>
      </c>
      <c r="T222" s="170">
        <f>COUNTIF(D223:O223,"T")</f>
        <v>0</v>
      </c>
      <c r="U222" s="124">
        <f>IFERROR(VLOOKUP('Tab Summary'!F222,TeamRecord,4,FALSE ),0)</f>
        <v>0</v>
      </c>
      <c r="V222" s="125">
        <f>IFERROR(VLOOKUP('Tab Summary'!I222,TeamRecord,4,FALSE ),0)</f>
        <v>0</v>
      </c>
      <c r="W222" s="126">
        <f>IFERROR(VLOOKUP('Tab Summary'!F222,TeamRecord,6,FALSE ),0)</f>
        <v>0</v>
      </c>
      <c r="X222" s="124">
        <f>IFERROR(VLOOKUP('Tab Summary'!I222,TeamRecord,6,FALSE ),0)</f>
        <v>0</v>
      </c>
      <c r="Y222" s="171">
        <f>IF(COUNTIF('Ballot Entry'!$X$3:$X$221,(P222+(T222/2)))=2,IF((P222+(T222/2))=U222,IF(COUNTIF(D223:F223,"W")&gt;COUNTIF(D223:F223,"L"),F222,0),0)+IF((P222+(T222/2))=V222,IF(COUNTIF(G223:I223,"W")&gt;COUNTIF(G223:I223,"L"),I222,0),0)+IF((P222+(T222/2))=U223,IF(COUNTIF(J223:L223,"W")&gt;COUNTIF(J223:L223,"L"),L222,0),0)+IF((P222+(T222/2))=V223,IF(COUNTIF(M223:O223,"W")&gt;COUNTIF(M223:O223,"L"),O222,0),0),0)</f>
        <v>0</v>
      </c>
      <c r="Z222" s="259" t="str">
        <f>IF(Teams&gt;68,"Show", "Hide")</f>
        <v>Hide</v>
      </c>
      <c r="AA222" s="158"/>
      <c r="AB222" s="158"/>
      <c r="AC222" s="159"/>
      <c r="AD222" s="159"/>
      <c r="AE222" s="158"/>
      <c r="AF222" s="158"/>
      <c r="AG222" s="159"/>
      <c r="AH222" s="159"/>
      <c r="AI222" s="159"/>
      <c r="AJ222" s="159"/>
      <c r="AK222" s="159"/>
      <c r="AL222" s="159"/>
      <c r="AM222" s="159"/>
      <c r="AN222" s="159"/>
      <c r="AO222" s="159"/>
      <c r="AP222" s="159"/>
      <c r="AQ222" s="159"/>
    </row>
    <row r="223" spans="1:43" s="151" customFormat="1" ht="13.5" hidden="1" customHeight="1" x14ac:dyDescent="0.25">
      <c r="A223" s="442">
        <f>'Tournament Info'!B83</f>
        <v>0</v>
      </c>
      <c r="B223" s="434"/>
      <c r="C223" s="435"/>
      <c r="D223" s="172" t="str">
        <f t="shared" ref="D223:O223" si="68">IF(D224="","",IF(D224&gt;0,"W",IF(D224&lt;0,"L",IF(D224=0,"T"))))</f>
        <v/>
      </c>
      <c r="E223" s="173" t="str">
        <f t="shared" si="68"/>
        <v/>
      </c>
      <c r="F223" s="174" t="str">
        <f t="shared" si="68"/>
        <v/>
      </c>
      <c r="G223" s="172" t="str">
        <f t="shared" si="68"/>
        <v/>
      </c>
      <c r="H223" s="173" t="str">
        <f t="shared" si="68"/>
        <v/>
      </c>
      <c r="I223" s="174" t="str">
        <f t="shared" si="68"/>
        <v/>
      </c>
      <c r="J223" s="172" t="str">
        <f t="shared" si="68"/>
        <v/>
      </c>
      <c r="K223" s="173" t="str">
        <f t="shared" si="68"/>
        <v/>
      </c>
      <c r="L223" s="174" t="str">
        <f t="shared" si="68"/>
        <v/>
      </c>
      <c r="M223" s="172" t="str">
        <f t="shared" si="68"/>
        <v/>
      </c>
      <c r="N223" s="173" t="str">
        <f t="shared" si="68"/>
        <v/>
      </c>
      <c r="O223" s="174" t="str">
        <f t="shared" si="68"/>
        <v/>
      </c>
      <c r="P223" s="175" t="s">
        <v>35</v>
      </c>
      <c r="Q223" s="176"/>
      <c r="R223" s="176" t="s">
        <v>36</v>
      </c>
      <c r="S223" s="176"/>
      <c r="T223" s="177" t="s">
        <v>31</v>
      </c>
      <c r="U223" s="127">
        <f>IFERROR(VLOOKUP('Tab Summary'!L222,TeamRecord,4,FALSE ),0)</f>
        <v>0</v>
      </c>
      <c r="V223" s="128">
        <f>IFERROR(VLOOKUP('Tab Summary'!O222,TeamRecord,4,FALSE ),0)</f>
        <v>0</v>
      </c>
      <c r="W223" s="129">
        <f>IFERROR(VLOOKUP('Tab Summary'!L222,TeamRecord,6,FALSE ),0)</f>
        <v>0</v>
      </c>
      <c r="X223" s="127">
        <f>IFERROR(VLOOKUP('Tab Summary'!O222,TeamRecord,6,FALSE ),0)</f>
        <v>0</v>
      </c>
      <c r="Y223" s="171">
        <f>IF(Y222&lt;&gt;0,(IF(COUNTIF('Ballot Entry'!$Z$3:$Z$35,'Tab Summary'!P224)=2,IF(P224=W222,IF(COUNTIF(D223:F223,"W")&gt;COUNTIF(D223:F223,"L"),1,0),0)+IF(P224=X222,IF(COUNTIF(G223:I223,"W")&gt;COUNTIF(G223:I223,"L"),1,0),0)+IF(P224=W223,IF(COUNTIF(J223:L223,"W")&gt;COUNTIF(J223:L223,"L"),1,0),0)+IF(P224=X223,IF(COUNTIF(M223:O223,"W")&gt;COUNTIF(M223:O223,"L"),1,0),0),0)),0)</f>
        <v>0</v>
      </c>
      <c r="Z223" s="259" t="str">
        <f>IF(Teams&gt;68,"Show", "Hide")</f>
        <v>Hide</v>
      </c>
      <c r="AA223" s="158"/>
      <c r="AB223" s="158"/>
      <c r="AC223" s="159"/>
      <c r="AD223" s="159"/>
      <c r="AE223" s="158"/>
      <c r="AF223" s="158"/>
      <c r="AG223" s="159"/>
      <c r="AH223" s="159"/>
      <c r="AI223" s="159"/>
      <c r="AJ223" s="159"/>
      <c r="AK223" s="159"/>
      <c r="AL223" s="159"/>
      <c r="AM223" s="159"/>
      <c r="AN223" s="159"/>
      <c r="AO223" s="159"/>
      <c r="AP223" s="159"/>
      <c r="AQ223" s="159"/>
    </row>
    <row r="224" spans="1:43" s="151" customFormat="1" ht="13.5" hidden="1" customHeight="1" thickBot="1" x14ac:dyDescent="0.3">
      <c r="A224" s="436"/>
      <c r="B224" s="437"/>
      <c r="C224" s="438"/>
      <c r="D224" s="178" t="str">
        <f>IFERROR(IF(D222="Π",VLOOKUP($A222, Round1P,3,FALSE),VLOOKUP($A222,Round1D,3,FALSE)),"")</f>
        <v/>
      </c>
      <c r="E224" s="179" t="str">
        <f>IFERROR(IF(Ballots=3,IF(D222="Π",VLOOKUP($A222, Round1P,5,FALSE),VLOOKUP($A222,Round1D,5,FALSE)),""),"")</f>
        <v/>
      </c>
      <c r="F224" s="180" t="str">
        <f>IFERROR(IF(D222="Π",VLOOKUP($A222, Round1P,4,FALSE),VLOOKUP($A222,Round1D,4,FALSE)),"")</f>
        <v/>
      </c>
      <c r="G224" s="178" t="str">
        <f>IFERROR(IF(G222="Π",VLOOKUP($A222, Round2P,3,FALSE),VLOOKUP($A222,Round2D,3,FALSE)),"")</f>
        <v/>
      </c>
      <c r="H224" s="179" t="str">
        <f>IFERROR(IF(Ballots=3,IF(G222="Π",VLOOKUP($A222, Round2P,5,FALSE),VLOOKUP($A222,Round2D,5,FALSE)),""),"")</f>
        <v/>
      </c>
      <c r="I224" s="180" t="str">
        <f>IFERROR(IF(G222="Π",VLOOKUP($A222, Round2P,4,FALSE),VLOOKUP($A222,Round2D,4,FALSE)),"")</f>
        <v/>
      </c>
      <c r="J224" s="178" t="str">
        <f>IFERROR(IF(J222="Π",VLOOKUP($A222, Round3P,3,FALSE),VLOOKUP($A222,Round3D,3,FALSE)),"")</f>
        <v/>
      </c>
      <c r="K224" s="179" t="str">
        <f>IFERROR(IF(Ballots=3,IF(J222="Π",VLOOKUP($A222, Round3P,5,FALSE),VLOOKUP($A222,Round3D,5,FALSE)),""),"")</f>
        <v/>
      </c>
      <c r="L224" s="180" t="str">
        <f>IFERROR(IF(J222="Π",VLOOKUP($A222, Round3P,4,FALSE),VLOOKUP($A222,Round3D,4,FALSE)),"")</f>
        <v/>
      </c>
      <c r="M224" s="178" t="str">
        <f>IFERROR(IF(M222="Π",VLOOKUP($A222, Round4P,3,FALSE),VLOOKUP($A222,Round4D,3,FALSE)),"")</f>
        <v/>
      </c>
      <c r="N224" s="179" t="str">
        <f>IFERROR(IF(Ballots=3,IF(M222="Π",VLOOKUP($A222, Round4P,5,FALSE),VLOOKUP($A222,Round4D,5,FALSE)),""),"")</f>
        <v/>
      </c>
      <c r="O224" s="180" t="str">
        <f>IFERROR(IF(M222="Π",VLOOKUP($A222, Round4P,4,FALSE),VLOOKUP($A222,Round4D,4,FALSE)),"")</f>
        <v/>
      </c>
      <c r="P224" s="181">
        <f>'Tab Summary'!U222+'Tab Summary'!V222+'Tab Summary'!U223+'Tab Summary'!V223</f>
        <v>0</v>
      </c>
      <c r="Q224" s="182"/>
      <c r="R224" s="183">
        <f>SUM('Tab Summary'!W222:X223)</f>
        <v>0</v>
      </c>
      <c r="S224" s="184"/>
      <c r="T224" s="185">
        <f>SUM(D224:O224)</f>
        <v>0</v>
      </c>
      <c r="U224" s="130" t="s">
        <v>67</v>
      </c>
      <c r="V224" s="131">
        <f>IF(D222="Π",COUNTIF(D223:F223,"W"),0)+IF(G222="Π",COUNTIF(G223:I223,"W"),0)+IF(J222="Π",COUNTIF(J223:L223,"W"),0)+IF(M222="Π",COUNTIF(M223:O223,"W"),0)</f>
        <v>0</v>
      </c>
      <c r="W224" s="132" t="s">
        <v>68</v>
      </c>
      <c r="X224" s="130">
        <f>IF(D222="Δ",COUNTIF(D223:F223,"W"),0)+IF(G222="Δ",COUNTIF(G223:I223,"W"),0)+IF(J222="Δ",COUNTIF(J223:L223,"W"),0)+IF(M222="Δ",COUNTIF(M223:O223,"W"),0)</f>
        <v>0</v>
      </c>
      <c r="Y224" s="171"/>
      <c r="Z224" s="259" t="str">
        <f>IF(Teams&gt;68,"Show", "Hide")</f>
        <v>Hide</v>
      </c>
      <c r="AA224" s="158"/>
      <c r="AB224" s="158"/>
      <c r="AC224" s="159"/>
      <c r="AD224" s="159"/>
      <c r="AE224" s="158"/>
      <c r="AF224" s="158"/>
      <c r="AG224" s="159"/>
      <c r="AH224" s="159"/>
      <c r="AI224" s="159"/>
      <c r="AJ224" s="159"/>
      <c r="AK224" s="159"/>
      <c r="AL224" s="159"/>
      <c r="AM224" s="159"/>
      <c r="AN224" s="159"/>
      <c r="AO224" s="159"/>
      <c r="AP224" s="159"/>
      <c r="AQ224" s="159"/>
    </row>
    <row r="225" spans="1:43" s="151" customFormat="1" ht="13.5" hidden="1" customHeight="1" x14ac:dyDescent="0.25">
      <c r="A225" s="439">
        <f>'Tournament Info'!C84</f>
        <v>0</v>
      </c>
      <c r="B225" s="440"/>
      <c r="C225" s="441"/>
      <c r="D225" s="186" t="str">
        <f>IF(COUNTIF('Ballot Entry'!$M$3:$M$37,$A225)=1,"Π",IF(COUNTIF('Ballot Entry'!$N$3:$N$37,$A225)=1,"Δ",""))</f>
        <v/>
      </c>
      <c r="E225" s="187" t="s">
        <v>30</v>
      </c>
      <c r="F225" s="188" t="str">
        <f>IFERROR(IF(D225="Π",VLOOKUP($A225, Round1P,2,FALSE),VLOOKUP($A225,Round1D,2,FALSE)),"")</f>
        <v/>
      </c>
      <c r="G225" s="186" t="str">
        <f>IF(COUNTIF('Ballot Entry'!$M$109:$M$143,$A225)=1,"Π",IF(COUNTIF('Ballot Entry'!$N$109:$N$143,$A225)=1,"Δ",""))</f>
        <v/>
      </c>
      <c r="H225" s="187" t="s">
        <v>30</v>
      </c>
      <c r="I225" s="188" t="str">
        <f>IFERROR(IF(G225="Π",VLOOKUP($A225, Round2P,2,FALSE),VLOOKUP($A225,Round2D,2,FALSE)),"")</f>
        <v/>
      </c>
      <c r="J225" s="186" t="str">
        <f>IF(COUNTIF('Ballot Entry'!$M$215:$M$249,$A225)=1,"Π",IF(COUNTIF('Ballot Entry'!$N$215:$N$249,$A225)=1,"Δ",""))</f>
        <v/>
      </c>
      <c r="K225" s="187" t="s">
        <v>30</v>
      </c>
      <c r="L225" s="188" t="str">
        <f>IFERROR(IF(J225="Π",VLOOKUP($A225, Round3P,2,FALSE),VLOOKUP($A225,Round3D,2,FALSE)),"")</f>
        <v/>
      </c>
      <c r="M225" s="186" t="str">
        <f>IF(COUNTIF('Ballot Entry'!$M$321:$M$355,$A225)=1,"Π",IF(COUNTIF('Ballot Entry'!$N$321:$N$355,$A225)=1,"Δ",""))</f>
        <v/>
      </c>
      <c r="N225" s="187" t="s">
        <v>30</v>
      </c>
      <c r="O225" s="188" t="str">
        <f>IFERROR(IF(M225="Π",VLOOKUP($A225, Round4P,2,FALSE),VLOOKUP($A225,Round4D,2,FALSE)),"")</f>
        <v/>
      </c>
      <c r="P225" s="189">
        <f>COUNTIF(D226:O226,"W")</f>
        <v>0</v>
      </c>
      <c r="Q225" s="190" t="s">
        <v>34</v>
      </c>
      <c r="R225" s="191">
        <f>COUNTIF(D226:O226,"L")</f>
        <v>0</v>
      </c>
      <c r="S225" s="192" t="s">
        <v>34</v>
      </c>
      <c r="T225" s="193">
        <f>COUNTIF(D226:O226,"T")</f>
        <v>0</v>
      </c>
      <c r="U225" s="124">
        <f>IFERROR(VLOOKUP('Tab Summary'!F225,TeamRecord,4,FALSE ),0)</f>
        <v>0</v>
      </c>
      <c r="V225" s="125">
        <f>IFERROR(VLOOKUP('Tab Summary'!I225,TeamRecord,4,FALSE ),0)</f>
        <v>0</v>
      </c>
      <c r="W225" s="126">
        <f>IFERROR(VLOOKUP('Tab Summary'!F225,TeamRecord,6,FALSE ),0)</f>
        <v>0</v>
      </c>
      <c r="X225" s="124">
        <f>IFERROR(VLOOKUP('Tab Summary'!I225,TeamRecord,6,FALSE ),0)</f>
        <v>0</v>
      </c>
      <c r="Y225" s="171">
        <f>IF(COUNTIF('Ballot Entry'!$X$3:$X$221,(P225+(T225/2)))=2,IF((P225+(T225/2))=U225,IF(COUNTIF(D226:F226,"W")&gt;COUNTIF(D226:F226,"L"),F225,0),0)+IF((P225+(T225/2))=V225,IF(COUNTIF(G226:I226,"W")&gt;COUNTIF(G226:I226,"L"),I225,0),0)+IF((P225+(T225/2))=U226,IF(COUNTIF(J226:L226,"W")&gt;COUNTIF(J226:L226,"L"),L225,0),0)+IF((P225+(T225/2))=V226,IF(COUNTIF(M226:O226,"W")&gt;COUNTIF(M226:O226,"L"),O225,0),0),0)</f>
        <v>0</v>
      </c>
      <c r="Z225" s="259" t="str">
        <f>IF(Teams&gt;69,"Show", "Hide")</f>
        <v>Hide</v>
      </c>
      <c r="AA225" s="158"/>
      <c r="AB225" s="158"/>
      <c r="AC225" s="159"/>
      <c r="AD225" s="159"/>
      <c r="AE225" s="158"/>
      <c r="AF225" s="158"/>
      <c r="AG225" s="159"/>
      <c r="AH225" s="159"/>
      <c r="AI225" s="159"/>
      <c r="AJ225" s="159"/>
      <c r="AK225" s="159"/>
      <c r="AL225" s="159"/>
      <c r="AM225" s="159"/>
      <c r="AN225" s="159"/>
      <c r="AO225" s="159"/>
      <c r="AP225" s="159"/>
      <c r="AQ225" s="159"/>
    </row>
    <row r="226" spans="1:43" s="151" customFormat="1" ht="13.5" hidden="1" customHeight="1" x14ac:dyDescent="0.25">
      <c r="A226" s="443">
        <f>'Tournament Info'!B84</f>
        <v>0</v>
      </c>
      <c r="B226" s="425"/>
      <c r="C226" s="426"/>
      <c r="D226" s="194" t="str">
        <f t="shared" ref="D226:O226" si="69">IF(D227="","",IF(D227&gt;0,"W",IF(D227&lt;0,"L",IF(D227=0,"T"))))</f>
        <v/>
      </c>
      <c r="E226" s="195" t="str">
        <f t="shared" si="69"/>
        <v/>
      </c>
      <c r="F226" s="196" t="str">
        <f t="shared" si="69"/>
        <v/>
      </c>
      <c r="G226" s="194" t="str">
        <f t="shared" si="69"/>
        <v/>
      </c>
      <c r="H226" s="195" t="str">
        <f t="shared" si="69"/>
        <v/>
      </c>
      <c r="I226" s="196" t="str">
        <f t="shared" si="69"/>
        <v/>
      </c>
      <c r="J226" s="194" t="str">
        <f t="shared" si="69"/>
        <v/>
      </c>
      <c r="K226" s="195" t="str">
        <f t="shared" si="69"/>
        <v/>
      </c>
      <c r="L226" s="196" t="str">
        <f t="shared" si="69"/>
        <v/>
      </c>
      <c r="M226" s="194" t="str">
        <f t="shared" si="69"/>
        <v/>
      </c>
      <c r="N226" s="195" t="str">
        <f t="shared" si="69"/>
        <v/>
      </c>
      <c r="O226" s="196" t="str">
        <f t="shared" si="69"/>
        <v/>
      </c>
      <c r="P226" s="197" t="s">
        <v>35</v>
      </c>
      <c r="Q226" s="198"/>
      <c r="R226" s="198" t="s">
        <v>36</v>
      </c>
      <c r="S226" s="198"/>
      <c r="T226" s="199" t="s">
        <v>31</v>
      </c>
      <c r="U226" s="127">
        <f>IFERROR(VLOOKUP('Tab Summary'!L225,TeamRecord,4,FALSE ),0)</f>
        <v>0</v>
      </c>
      <c r="V226" s="128">
        <f>IFERROR(VLOOKUP('Tab Summary'!O225,TeamRecord,4,FALSE ),0)</f>
        <v>0</v>
      </c>
      <c r="W226" s="129">
        <f>IFERROR(VLOOKUP('Tab Summary'!L225,TeamRecord,6,FALSE ),0)</f>
        <v>0</v>
      </c>
      <c r="X226" s="127">
        <f>IFERROR(VLOOKUP('Tab Summary'!O225,TeamRecord,6,FALSE ),0)</f>
        <v>0</v>
      </c>
      <c r="Y226" s="171">
        <f>IF(Y225&lt;&gt;0,(IF(COUNTIF('Ballot Entry'!$Z$3:$Z$35,'Tab Summary'!P227)=2,IF(P227=W225,IF(COUNTIF(D226:F226,"W")&gt;COUNTIF(D226:F226,"L"),1,0),0)+IF(P227=X225,IF(COUNTIF(G226:I226,"W")&gt;COUNTIF(G226:I226,"L"),1,0),0)+IF(P227=W226,IF(COUNTIF(J226:L226,"W")&gt;COUNTIF(J226:L226,"L"),1,0),0)+IF(P227=X226,IF(COUNTIF(M226:O226,"W")&gt;COUNTIF(M226:O226,"L"),1,0),0),0)),0)</f>
        <v>0</v>
      </c>
      <c r="Z226" s="259" t="str">
        <f>IF(Teams&gt;69,"Show", "Hide")</f>
        <v>Hide</v>
      </c>
      <c r="AA226" s="158"/>
      <c r="AB226" s="158"/>
      <c r="AC226" s="159"/>
      <c r="AD226" s="159"/>
      <c r="AE226" s="158"/>
      <c r="AF226" s="158"/>
      <c r="AG226" s="159"/>
      <c r="AH226" s="159"/>
      <c r="AI226" s="159"/>
      <c r="AJ226" s="159"/>
      <c r="AK226" s="159"/>
      <c r="AL226" s="159"/>
      <c r="AM226" s="159"/>
      <c r="AN226" s="159"/>
      <c r="AO226" s="159"/>
      <c r="AP226" s="159"/>
      <c r="AQ226" s="159"/>
    </row>
    <row r="227" spans="1:43" s="151" customFormat="1" ht="13.5" hidden="1" customHeight="1" thickBot="1" x14ac:dyDescent="0.3">
      <c r="A227" s="427"/>
      <c r="B227" s="428"/>
      <c r="C227" s="429"/>
      <c r="D227" s="200" t="str">
        <f>IFERROR(IF(D225="Π",VLOOKUP($A225, Round1P,3,FALSE),VLOOKUP($A225,Round1D,3,FALSE)),"")</f>
        <v/>
      </c>
      <c r="E227" s="201" t="str">
        <f>IFERROR(IF(Ballots=3,IF(D225="Π",VLOOKUP($A225, Round1P,5,FALSE),VLOOKUP($A225,Round1D,5,FALSE)),""),"")</f>
        <v/>
      </c>
      <c r="F227" s="202" t="str">
        <f>IFERROR(IF(D225="Π",VLOOKUP($A225, Round1P,4,FALSE),VLOOKUP($A225,Round1D,4,FALSE)),"")</f>
        <v/>
      </c>
      <c r="G227" s="200" t="str">
        <f>IFERROR(IF(G225="Π",VLOOKUP($A225, Round2P,3,FALSE),VLOOKUP($A225,Round2D,3,FALSE)),"")</f>
        <v/>
      </c>
      <c r="H227" s="201" t="str">
        <f>IFERROR(IF(Ballots=3,IF(G225="Π",VLOOKUP($A225, Round2P,5,FALSE),VLOOKUP($A225,Round2D,5,FALSE)),""),"")</f>
        <v/>
      </c>
      <c r="I227" s="202" t="str">
        <f>IFERROR(IF(G225="Π",VLOOKUP($A225, Round2P,4,FALSE),VLOOKUP($A225,Round2D,4,FALSE)),"")</f>
        <v/>
      </c>
      <c r="J227" s="200" t="str">
        <f>IFERROR(IF(J225="Π",VLOOKUP($A225, Round3P,3,FALSE),VLOOKUP($A225,Round3D,3,FALSE)),"")</f>
        <v/>
      </c>
      <c r="K227" s="201" t="str">
        <f>IFERROR(IF(Ballots=3,IF(J225="Π",VLOOKUP($A225, Round3P,5,FALSE),VLOOKUP($A225,Round3D,5,FALSE)),""),"")</f>
        <v/>
      </c>
      <c r="L227" s="202" t="str">
        <f>IFERROR(IF(J225="Π",VLOOKUP($A225, Round3P,4,FALSE),VLOOKUP($A225,Round3D,4,FALSE)),"")</f>
        <v/>
      </c>
      <c r="M227" s="200" t="str">
        <f>IFERROR(IF(M225="Π",VLOOKUP($A225, Round4P,3,FALSE),VLOOKUP($A225,Round4D,3,FALSE)),"")</f>
        <v/>
      </c>
      <c r="N227" s="201" t="str">
        <f>IFERROR(IF(Ballots=3,IF(M225="Π",VLOOKUP($A225, Round4P,5,FALSE),VLOOKUP($A225,Round4D,5,FALSE)),""),"")</f>
        <v/>
      </c>
      <c r="O227" s="202" t="str">
        <f>IFERROR(IF(M225="Π",VLOOKUP($A225, Round4P,4,FALSE),VLOOKUP($A225,Round4D,4,FALSE)),"")</f>
        <v/>
      </c>
      <c r="P227" s="203">
        <f>'Tab Summary'!U225+'Tab Summary'!V225+'Tab Summary'!U226+'Tab Summary'!V226</f>
        <v>0</v>
      </c>
      <c r="Q227" s="204"/>
      <c r="R227" s="205">
        <f>SUM('Tab Summary'!W225:X226)</f>
        <v>0</v>
      </c>
      <c r="S227" s="206"/>
      <c r="T227" s="207">
        <f>SUM(D227:O227)</f>
        <v>0</v>
      </c>
      <c r="U227" s="130" t="s">
        <v>67</v>
      </c>
      <c r="V227" s="131">
        <f>IF(D225="Π",COUNTIF(D226:F226,"W"),0)+IF(G225="Π",COUNTIF(G226:I226,"W"),0)+IF(J225="Π",COUNTIF(J226:L226,"W"),0)+IF(M225="Π",COUNTIF(M226:O226,"W"),0)</f>
        <v>0</v>
      </c>
      <c r="W227" s="132" t="s">
        <v>68</v>
      </c>
      <c r="X227" s="130">
        <f>IF(D225="Δ",COUNTIF(D226:F226,"W"),0)+IF(G225="Δ",COUNTIF(G226:I226,"W"),0)+IF(J225="Δ",COUNTIF(J226:L226,"W"),0)+IF(M225="Δ",COUNTIF(M226:O226,"W"),0)</f>
        <v>0</v>
      </c>
      <c r="Y227" s="171"/>
      <c r="Z227" s="259" t="str">
        <f>IF(Teams&gt;69,"Show", "Hide")</f>
        <v>Hide</v>
      </c>
      <c r="AA227" s="158"/>
      <c r="AB227" s="158"/>
      <c r="AC227" s="159"/>
      <c r="AD227" s="159"/>
      <c r="AE227" s="158"/>
      <c r="AF227" s="158"/>
      <c r="AG227" s="159"/>
      <c r="AH227" s="159"/>
      <c r="AI227" s="159"/>
      <c r="AJ227" s="159"/>
      <c r="AK227" s="159"/>
      <c r="AL227" s="159"/>
      <c r="AM227" s="159"/>
      <c r="AN227" s="159"/>
      <c r="AO227" s="159"/>
      <c r="AP227" s="159"/>
      <c r="AQ227" s="159"/>
    </row>
    <row r="228" spans="1:43" s="151" customFormat="1" x14ac:dyDescent="0.2">
      <c r="A228" s="208"/>
      <c r="B228" s="209"/>
      <c r="C228" s="209"/>
      <c r="D228" s="210"/>
      <c r="E228" s="209"/>
      <c r="F228" s="209"/>
      <c r="G228" s="210"/>
      <c r="H228" s="209"/>
      <c r="I228" s="209"/>
      <c r="J228" s="210"/>
      <c r="K228" s="209"/>
      <c r="L228" s="209"/>
      <c r="M228" s="210"/>
      <c r="N228" s="209"/>
      <c r="O228" s="209"/>
      <c r="P228" s="211"/>
      <c r="Q228" s="208"/>
      <c r="R228" s="208"/>
      <c r="S228" s="208"/>
      <c r="T228" s="208"/>
      <c r="U228" s="212"/>
      <c r="V228" s="212"/>
      <c r="W228" s="212"/>
      <c r="X228" s="212"/>
      <c r="Y228" s="171"/>
      <c r="Z228" s="171" t="s">
        <v>38</v>
      </c>
      <c r="AA228" s="151" t="s">
        <v>208</v>
      </c>
      <c r="AB228" s="158"/>
      <c r="AC228" s="159"/>
      <c r="AD228" s="159"/>
      <c r="AE228" s="158"/>
      <c r="AF228" s="158"/>
      <c r="AG228" s="159"/>
      <c r="AH228" s="159"/>
      <c r="AI228" s="159"/>
      <c r="AJ228" s="159"/>
      <c r="AK228" s="159"/>
      <c r="AL228" s="159"/>
      <c r="AM228" s="159"/>
      <c r="AN228" s="159"/>
      <c r="AO228" s="159"/>
      <c r="AP228" s="159"/>
      <c r="AQ228" s="159"/>
    </row>
    <row r="229" spans="1:43" s="151" customFormat="1" ht="51" x14ac:dyDescent="0.2">
      <c r="A229" s="460" t="s">
        <v>480</v>
      </c>
      <c r="B229" s="209"/>
      <c r="C229" s="209"/>
      <c r="D229" s="210"/>
      <c r="E229" s="209"/>
      <c r="F229" s="209"/>
      <c r="G229" s="210"/>
      <c r="H229" s="209"/>
      <c r="I229" s="209"/>
      <c r="J229" s="210"/>
      <c r="K229" s="209"/>
      <c r="L229" s="209"/>
      <c r="M229" s="210"/>
      <c r="N229" s="209"/>
      <c r="O229" s="209"/>
      <c r="P229" s="211"/>
      <c r="Q229" s="208"/>
      <c r="R229" s="208"/>
      <c r="S229" s="208"/>
      <c r="T229" s="208"/>
      <c r="U229" s="212"/>
      <c r="V229" s="212"/>
      <c r="W229" s="212"/>
      <c r="X229" s="212"/>
      <c r="Y229" s="171"/>
      <c r="Z229" s="171" t="s">
        <v>38</v>
      </c>
      <c r="AA229" s="151" t="s">
        <v>208</v>
      </c>
      <c r="AB229" s="158"/>
      <c r="AC229" s="159"/>
      <c r="AD229" s="159"/>
      <c r="AE229" s="158"/>
      <c r="AF229" s="158"/>
      <c r="AG229" s="159"/>
      <c r="AH229" s="159"/>
      <c r="AI229" s="159"/>
      <c r="AJ229" s="159"/>
      <c r="AK229" s="159"/>
      <c r="AL229" s="159"/>
      <c r="AM229" s="159"/>
      <c r="AN229" s="159"/>
      <c r="AO229" s="159"/>
      <c r="AP229" s="159"/>
      <c r="AQ229" s="159"/>
    </row>
    <row r="230" spans="1:43" s="151" customFormat="1" x14ac:dyDescent="0.2">
      <c r="A230" s="213" t="s">
        <v>37</v>
      </c>
      <c r="B230" s="214"/>
      <c r="C230" s="214"/>
      <c r="D230" s="214"/>
      <c r="E230" s="214"/>
      <c r="F230" s="214"/>
      <c r="G230" s="214"/>
      <c r="H230" s="214"/>
      <c r="I230" s="214"/>
      <c r="J230" s="214"/>
      <c r="K230" s="214"/>
      <c r="L230" s="214"/>
      <c r="M230" s="214"/>
      <c r="N230" s="214"/>
      <c r="O230" s="214"/>
      <c r="P230" s="215"/>
      <c r="Q230" s="213"/>
      <c r="R230" s="213"/>
      <c r="S230" s="213"/>
      <c r="T230" s="213"/>
      <c r="U230" s="212"/>
      <c r="V230" s="212"/>
      <c r="W230" s="212"/>
      <c r="X230" s="212"/>
      <c r="Y230" s="171"/>
      <c r="Z230" s="171" t="s">
        <v>38</v>
      </c>
      <c r="AB230" s="159"/>
      <c r="AC230" s="158"/>
      <c r="AD230" s="159"/>
      <c r="AE230" s="158"/>
      <c r="AF230" s="158"/>
      <c r="AG230" s="159"/>
      <c r="AH230" s="159"/>
      <c r="AI230" s="159"/>
      <c r="AJ230" s="159"/>
      <c r="AK230" s="159"/>
      <c r="AL230" s="159"/>
      <c r="AM230" s="159"/>
      <c r="AN230" s="159"/>
      <c r="AO230" s="159"/>
      <c r="AP230" s="159"/>
      <c r="AQ230" s="159"/>
    </row>
    <row r="231" spans="1:43" s="151" customFormat="1" x14ac:dyDescent="0.2">
      <c r="A231" s="451" t="str">
        <f>"Opening coin flip: "&amp;Flip1&amp;IF(Flip1 = "Heads", " - Higher # = Better Rank", " - Lower # = Better Rank")</f>
        <v>Opening coin flip: Heads - Higher # = Better Rank</v>
      </c>
      <c r="B231" s="451"/>
      <c r="C231" s="451"/>
      <c r="D231" s="451"/>
      <c r="E231" s="451"/>
      <c r="F231" s="451"/>
      <c r="G231" s="451"/>
      <c r="H231" s="451"/>
      <c r="I231" s="451"/>
      <c r="J231" s="451"/>
      <c r="K231" s="451"/>
      <c r="L231" s="451"/>
      <c r="M231" s="451"/>
      <c r="N231" s="451"/>
      <c r="O231" s="451"/>
      <c r="P231" s="451"/>
      <c r="Q231" s="451"/>
      <c r="R231" s="451"/>
      <c r="S231" s="451"/>
      <c r="T231" s="451"/>
      <c r="U231" s="212"/>
      <c r="V231" s="212"/>
      <c r="W231" s="212"/>
      <c r="X231" s="212"/>
      <c r="Y231" s="171"/>
      <c r="Z231" s="171" t="s">
        <v>38</v>
      </c>
      <c r="AB231" s="158"/>
      <c r="AC231" s="159"/>
      <c r="AD231" s="159"/>
      <c r="AE231" s="158"/>
      <c r="AF231" s="158"/>
      <c r="AG231" s="159"/>
      <c r="AH231" s="159"/>
      <c r="AI231" s="159"/>
      <c r="AJ231" s="159"/>
      <c r="AK231" s="159"/>
      <c r="AL231" s="159"/>
      <c r="AM231" s="159"/>
      <c r="AN231" s="159"/>
      <c r="AO231" s="159"/>
      <c r="AP231" s="159"/>
      <c r="AQ231" s="159"/>
    </row>
    <row r="232" spans="1:43" s="1" customFormat="1" x14ac:dyDescent="0.2">
      <c r="A232" s="452" t="str">
        <f>"Round 3 coin flip: "&amp;Flip2&amp;IF(Flip2 = "Heads", " - Right Side is Defense", " - Left Side is Defense")</f>
        <v>Round 3 coin flip: Heads - Right Side is Defense</v>
      </c>
      <c r="B232" s="452"/>
      <c r="C232" s="452"/>
      <c r="D232" s="452"/>
      <c r="E232" s="452"/>
      <c r="F232" s="452"/>
      <c r="G232" s="452"/>
      <c r="H232" s="452"/>
      <c r="I232" s="452"/>
      <c r="J232" s="452"/>
      <c r="K232" s="452"/>
      <c r="L232" s="452"/>
      <c r="M232" s="452"/>
      <c r="N232" s="452"/>
      <c r="O232" s="452"/>
      <c r="P232" s="452"/>
      <c r="Q232" s="452"/>
      <c r="R232" s="452"/>
      <c r="S232" s="452"/>
      <c r="T232" s="452"/>
      <c r="U232" s="137"/>
      <c r="V232" s="137"/>
      <c r="W232" s="137"/>
      <c r="X232" s="137"/>
      <c r="Y232" s="16"/>
      <c r="Z232" s="16" t="s">
        <v>38</v>
      </c>
      <c r="AA232" s="216" t="s">
        <v>39</v>
      </c>
      <c r="AB232" s="142" t="s">
        <v>215</v>
      </c>
      <c r="AC232" s="230" t="s">
        <v>215</v>
      </c>
      <c r="AD232" s="147"/>
      <c r="AE232" s="4"/>
      <c r="AF232" s="4"/>
      <c r="AG232" s="147"/>
      <c r="AH232" s="147"/>
      <c r="AI232" s="147"/>
      <c r="AJ232" s="147"/>
      <c r="AK232" s="147"/>
      <c r="AL232" s="147"/>
      <c r="AM232" s="147"/>
      <c r="AN232" s="147"/>
      <c r="AO232" s="147"/>
      <c r="AP232" s="147"/>
      <c r="AQ232" s="147"/>
    </row>
    <row r="233" spans="1:43" s="1" customFormat="1" hidden="1" x14ac:dyDescent="0.2">
      <c r="A233" s="217" t="str">
        <f>Bids+1&amp;"th place after round 3: "&amp;LARGE(Round3Rank,Bids+1)&amp;" Wins"</f>
        <v>6th place after round 3: 4 Wins</v>
      </c>
      <c r="B233" s="218"/>
      <c r="C233" s="218"/>
      <c r="D233" s="218"/>
      <c r="E233" s="218"/>
      <c r="F233" s="218"/>
      <c r="G233" s="218"/>
      <c r="H233" s="218"/>
      <c r="I233" s="218"/>
      <c r="J233" s="218"/>
      <c r="K233" s="218"/>
      <c r="L233" s="218"/>
      <c r="M233" s="218"/>
      <c r="N233" s="218"/>
      <c r="O233" s="218"/>
      <c r="P233" s="219"/>
      <c r="Q233" s="220"/>
      <c r="R233" s="220"/>
      <c r="S233" s="220"/>
      <c r="T233" s="220"/>
      <c r="U233" s="137"/>
      <c r="V233" s="137"/>
      <c r="W233" s="137"/>
      <c r="X233" s="137"/>
      <c r="Y233" s="16"/>
      <c r="Z233" s="16" t="str">
        <f>IF(ORC&gt;0, "Show", "Hide")</f>
        <v>Hide</v>
      </c>
      <c r="AA233" s="216" t="s">
        <v>40</v>
      </c>
      <c r="AB233" s="142" t="s">
        <v>215</v>
      </c>
      <c r="AC233" s="230" t="s">
        <v>172</v>
      </c>
      <c r="AD233" s="147"/>
      <c r="AE233" s="4"/>
      <c r="AF233" s="4"/>
      <c r="AG233" s="147"/>
      <c r="AH233" s="147"/>
      <c r="AI233" s="147"/>
      <c r="AJ233" s="147"/>
      <c r="AK233" s="147"/>
      <c r="AL233" s="147"/>
      <c r="AM233" s="147"/>
      <c r="AN233" s="147"/>
      <c r="AO233" s="147"/>
      <c r="AP233" s="147"/>
      <c r="AQ233" s="147"/>
    </row>
    <row r="234" spans="1:43" s="1" customFormat="1" hidden="1" x14ac:dyDescent="0.2">
      <c r="A234" s="217" t="s">
        <v>242</v>
      </c>
      <c r="B234" s="218"/>
      <c r="C234" s="218"/>
      <c r="D234" s="218"/>
      <c r="E234" s="218"/>
      <c r="F234" s="218"/>
      <c r="G234" s="218"/>
      <c r="H234" s="218"/>
      <c r="I234" s="218"/>
      <c r="J234" s="218"/>
      <c r="K234" s="218"/>
      <c r="L234" s="218"/>
      <c r="M234" s="218"/>
      <c r="N234" s="218"/>
      <c r="O234" s="218"/>
      <c r="P234" s="219"/>
      <c r="Q234" s="220"/>
      <c r="R234" s="220"/>
      <c r="S234" s="220"/>
      <c r="T234" s="220"/>
      <c r="U234" s="137"/>
      <c r="V234" s="137"/>
      <c r="W234" s="137"/>
      <c r="X234" s="137"/>
      <c r="Y234" s="16"/>
      <c r="Z234" s="16" t="str">
        <f>IF(B235&lt;&gt;0,"Show", "Hide")</f>
        <v>Hide</v>
      </c>
      <c r="AB234" s="4"/>
      <c r="AC234" s="147"/>
      <c r="AD234" s="147"/>
      <c r="AE234" s="4"/>
      <c r="AF234" s="4"/>
      <c r="AG234" s="147"/>
      <c r="AH234" s="147"/>
      <c r="AI234" s="147"/>
      <c r="AJ234" s="147"/>
      <c r="AK234" s="147"/>
      <c r="AL234" s="147"/>
      <c r="AM234" s="147"/>
      <c r="AN234" s="147"/>
      <c r="AO234" s="147"/>
      <c r="AP234" s="147"/>
      <c r="AQ234" s="147"/>
    </row>
    <row r="235" spans="1:43" s="1" customFormat="1" hidden="1" x14ac:dyDescent="0.2">
      <c r="A235" s="218"/>
      <c r="B235" s="218">
        <f>AMTA1</f>
        <v>0</v>
      </c>
      <c r="C235" s="218"/>
      <c r="D235" s="218"/>
      <c r="E235" s="218"/>
      <c r="F235" s="218"/>
      <c r="G235" s="218"/>
      <c r="H235" s="218"/>
      <c r="I235" s="218"/>
      <c r="J235" s="218"/>
      <c r="K235" s="218"/>
      <c r="L235" s="218"/>
      <c r="M235" s="218"/>
      <c r="N235" s="218"/>
      <c r="O235" s="218"/>
      <c r="P235" s="219"/>
      <c r="Q235" s="220"/>
      <c r="R235" s="220"/>
      <c r="S235" s="220"/>
      <c r="T235" s="220"/>
      <c r="U235" s="137"/>
      <c r="V235" s="137"/>
      <c r="W235" s="137"/>
      <c r="X235" s="137"/>
      <c r="Y235" s="16"/>
      <c r="Z235" s="16" t="str">
        <f>IF(B235&lt;&gt;0,"Show", "Hide")</f>
        <v>Hide</v>
      </c>
      <c r="AB235" s="4"/>
      <c r="AC235" s="147"/>
      <c r="AD235" s="147"/>
      <c r="AE235" s="4"/>
      <c r="AF235" s="4"/>
      <c r="AG235" s="147"/>
      <c r="AH235" s="147"/>
      <c r="AI235" s="147"/>
      <c r="AJ235" s="147"/>
      <c r="AK235" s="147"/>
      <c r="AL235" s="147"/>
      <c r="AM235" s="147"/>
      <c r="AN235" s="147"/>
      <c r="AO235" s="147"/>
      <c r="AP235" s="147"/>
      <c r="AQ235" s="147"/>
    </row>
    <row r="236" spans="1:43" s="1" customFormat="1" hidden="1" x14ac:dyDescent="0.2">
      <c r="A236" s="218"/>
      <c r="B236" s="218">
        <f>AMTA2</f>
        <v>0</v>
      </c>
      <c r="C236" s="218"/>
      <c r="D236" s="218"/>
      <c r="E236" s="218"/>
      <c r="F236" s="218"/>
      <c r="G236" s="218"/>
      <c r="H236" s="218"/>
      <c r="I236" s="218"/>
      <c r="J236" s="218"/>
      <c r="K236" s="218"/>
      <c r="L236" s="218"/>
      <c r="M236" s="218"/>
      <c r="N236" s="218"/>
      <c r="O236" s="218"/>
      <c r="P236" s="219"/>
      <c r="Q236" s="220"/>
      <c r="R236" s="220"/>
      <c r="S236" s="220"/>
      <c r="T236" s="220"/>
      <c r="U236" s="137"/>
      <c r="V236" s="137"/>
      <c r="W236" s="137"/>
      <c r="X236" s="137"/>
      <c r="Y236" s="16"/>
      <c r="Z236" s="16" t="str">
        <f>IF(B236&lt;&gt;0,"Show", "Hide")</f>
        <v>Hide</v>
      </c>
      <c r="AB236" s="4"/>
      <c r="AC236" s="147"/>
      <c r="AD236" s="147"/>
      <c r="AE236" s="4"/>
      <c r="AF236" s="4"/>
      <c r="AG236" s="147"/>
      <c r="AH236" s="147"/>
      <c r="AI236" s="147"/>
      <c r="AJ236" s="147"/>
      <c r="AK236" s="147"/>
      <c r="AL236" s="147"/>
      <c r="AM236" s="147"/>
      <c r="AN236" s="147"/>
      <c r="AO236" s="147"/>
      <c r="AP236" s="147"/>
      <c r="AQ236" s="147"/>
    </row>
    <row r="237" spans="1:43" s="1" customFormat="1" hidden="1" x14ac:dyDescent="0.2">
      <c r="A237" s="306"/>
      <c r="B237" s="306">
        <f>AMTA3</f>
        <v>0</v>
      </c>
      <c r="C237" s="306"/>
      <c r="D237" s="306"/>
      <c r="E237" s="306"/>
      <c r="F237" s="306"/>
      <c r="G237" s="306"/>
      <c r="H237" s="306"/>
      <c r="I237" s="306"/>
      <c r="J237" s="306"/>
      <c r="K237" s="306"/>
      <c r="L237" s="306"/>
      <c r="M237" s="306"/>
      <c r="N237" s="306"/>
      <c r="O237" s="306"/>
      <c r="P237" s="219"/>
      <c r="Q237" s="220"/>
      <c r="R237" s="220"/>
      <c r="S237" s="220"/>
      <c r="T237" s="220"/>
      <c r="U237" s="137"/>
      <c r="V237" s="137"/>
      <c r="W237" s="137"/>
      <c r="X237" s="137"/>
      <c r="Y237" s="16"/>
      <c r="Z237" s="16" t="str">
        <f>IF(B237&lt;&gt;0,"Show", "Hide")</f>
        <v>Hide</v>
      </c>
      <c r="AB237" s="4"/>
      <c r="AC237" s="147"/>
      <c r="AD237" s="147"/>
      <c r="AE237" s="4"/>
      <c r="AF237" s="4"/>
      <c r="AG237" s="147"/>
      <c r="AH237" s="147"/>
      <c r="AI237" s="147"/>
      <c r="AJ237" s="147"/>
      <c r="AK237" s="147"/>
      <c r="AL237" s="147"/>
      <c r="AM237" s="147"/>
      <c r="AN237" s="147"/>
      <c r="AO237" s="147"/>
      <c r="AP237" s="147"/>
      <c r="AQ237" s="147"/>
    </row>
    <row r="238" spans="1:43" s="1" customFormat="1" hidden="1" x14ac:dyDescent="0.2">
      <c r="A238" s="221"/>
      <c r="B238" s="221"/>
      <c r="C238" s="221"/>
      <c r="D238" s="222"/>
      <c r="E238" s="221"/>
      <c r="F238" s="221"/>
      <c r="G238" s="222"/>
      <c r="H238" s="221"/>
      <c r="I238" s="221"/>
      <c r="J238" s="222"/>
      <c r="K238" s="221"/>
      <c r="L238" s="221"/>
      <c r="M238" s="222"/>
      <c r="N238" s="221"/>
      <c r="O238" s="221"/>
      <c r="P238" s="223"/>
      <c r="Q238" s="224"/>
      <c r="R238" s="224"/>
      <c r="S238" s="224"/>
      <c r="T238" s="224"/>
      <c r="U238" s="137"/>
      <c r="V238" s="137"/>
      <c r="W238" s="137"/>
      <c r="X238" s="137"/>
      <c r="Y238" s="16"/>
      <c r="Z238" s="16" t="str">
        <f>IF(ORC&gt;0, "Show", "Hide")</f>
        <v>Hide</v>
      </c>
      <c r="AB238" s="4"/>
      <c r="AC238" s="147"/>
      <c r="AD238" s="147"/>
      <c r="AE238" s="4"/>
      <c r="AF238" s="4"/>
      <c r="AG238" s="147"/>
      <c r="AH238" s="147"/>
      <c r="AI238" s="147"/>
      <c r="AJ238" s="147"/>
      <c r="AK238" s="147"/>
      <c r="AL238" s="147"/>
      <c r="AM238" s="147"/>
      <c r="AN238" s="147"/>
      <c r="AO238" s="147"/>
      <c r="AP238" s="147"/>
      <c r="AQ238" s="147"/>
    </row>
    <row r="239" spans="1:43" s="1" customFormat="1" ht="15.75" x14ac:dyDescent="0.25">
      <c r="A239" s="448" t="s">
        <v>243</v>
      </c>
      <c r="B239" s="448"/>
      <c r="C239" s="448"/>
      <c r="D239" s="448"/>
      <c r="E239" s="448"/>
      <c r="F239" s="448"/>
      <c r="G239" s="448"/>
      <c r="H239" s="448"/>
      <c r="I239" s="448"/>
      <c r="J239" s="448"/>
      <c r="K239" s="448"/>
      <c r="L239" s="448"/>
      <c r="M239" s="448"/>
      <c r="N239" s="448"/>
      <c r="O239" s="448"/>
      <c r="P239" s="448"/>
      <c r="Q239" s="448"/>
      <c r="R239" s="448"/>
      <c r="S239" s="448"/>
      <c r="T239" s="448"/>
      <c r="U239" s="137"/>
      <c r="V239" s="137"/>
      <c r="W239" s="137"/>
      <c r="X239" s="137"/>
      <c r="Y239" s="16"/>
      <c r="Z239" s="16" t="s">
        <v>38</v>
      </c>
      <c r="AB239" s="4"/>
      <c r="AC239" s="147"/>
      <c r="AD239" s="147"/>
      <c r="AE239" s="4"/>
      <c r="AF239" s="4"/>
      <c r="AG239" s="147"/>
      <c r="AH239" s="147"/>
      <c r="AI239" s="147"/>
      <c r="AJ239" s="147"/>
      <c r="AK239" s="147"/>
      <c r="AL239" s="147"/>
      <c r="AM239" s="147"/>
      <c r="AN239" s="147"/>
      <c r="AO239" s="147"/>
      <c r="AP239" s="147"/>
      <c r="AQ239" s="147"/>
    </row>
    <row r="240" spans="1:43" s="1" customFormat="1" hidden="1" x14ac:dyDescent="0.2">
      <c r="A240" s="449" t="str">
        <f>"Earning bids to "&amp;ORC</f>
        <v xml:space="preserve">Earning bids to </v>
      </c>
      <c r="B240" s="449"/>
      <c r="C240" s="449"/>
      <c r="D240" s="449"/>
      <c r="E240" s="449"/>
      <c r="F240" s="449"/>
      <c r="G240" s="449"/>
      <c r="H240" s="449"/>
      <c r="I240" s="449"/>
      <c r="J240" s="449"/>
      <c r="K240" s="449"/>
      <c r="L240" s="449"/>
      <c r="M240" s="449"/>
      <c r="N240" s="449"/>
      <c r="O240" s="449"/>
      <c r="P240" s="449"/>
      <c r="Q240" s="449"/>
      <c r="R240" s="449"/>
      <c r="S240" s="449"/>
      <c r="T240" s="449"/>
      <c r="U240" s="137"/>
      <c r="V240" s="137"/>
      <c r="W240" s="137"/>
      <c r="X240" s="137"/>
      <c r="Y240" s="16"/>
      <c r="Z240" s="16" t="str">
        <f>IF(ORC&gt;0, "Show", "Hide")</f>
        <v>Hide</v>
      </c>
      <c r="AB240" s="4"/>
      <c r="AC240" s="147"/>
      <c r="AD240" s="147"/>
      <c r="AE240" s="4"/>
      <c r="AF240" s="4"/>
      <c r="AG240" s="147"/>
      <c r="AH240" s="147"/>
      <c r="AI240" s="147"/>
      <c r="AJ240" s="147"/>
      <c r="AK240" s="147"/>
      <c r="AL240" s="147"/>
      <c r="AM240" s="147"/>
      <c r="AN240" s="147"/>
      <c r="AO240" s="147"/>
      <c r="AP240" s="147"/>
      <c r="AQ240" s="147"/>
    </row>
    <row r="241" spans="1:43" s="1" customFormat="1" hidden="1" x14ac:dyDescent="0.2">
      <c r="A241" s="449" t="str">
        <f>ORCDate&amp;", "&amp;ORCLoc</f>
        <v xml:space="preserve">, </v>
      </c>
      <c r="B241" s="449"/>
      <c r="C241" s="449"/>
      <c r="D241" s="449"/>
      <c r="E241" s="449"/>
      <c r="F241" s="449"/>
      <c r="G241" s="449"/>
      <c r="H241" s="449"/>
      <c r="I241" s="449"/>
      <c r="J241" s="449"/>
      <c r="K241" s="449"/>
      <c r="L241" s="449"/>
      <c r="M241" s="449"/>
      <c r="N241" s="449"/>
      <c r="O241" s="449"/>
      <c r="P241" s="449"/>
      <c r="Q241" s="449"/>
      <c r="R241" s="449"/>
      <c r="S241" s="449"/>
      <c r="T241" s="449"/>
      <c r="U241" s="137"/>
      <c r="V241" s="137"/>
      <c r="W241" s="137"/>
      <c r="X241" s="137"/>
      <c r="Y241" s="16"/>
      <c r="Z241" s="16" t="str">
        <f>IF(ORC&gt;0, "Show", "Hide")</f>
        <v>Hide</v>
      </c>
      <c r="AB241" s="4"/>
      <c r="AC241" s="147"/>
      <c r="AD241" s="147"/>
      <c r="AE241" s="4"/>
      <c r="AF241" s="4"/>
      <c r="AG241" s="147"/>
      <c r="AH241" s="147"/>
      <c r="AI241" s="147"/>
      <c r="AJ241" s="147"/>
      <c r="AK241" s="147"/>
      <c r="AL241" s="147"/>
      <c r="AM241" s="147"/>
      <c r="AN241" s="147"/>
      <c r="AO241" s="147"/>
      <c r="AP241" s="147"/>
      <c r="AQ241" s="147"/>
    </row>
    <row r="242" spans="1:43" s="1" customFormat="1" hidden="1" x14ac:dyDescent="0.2">
      <c r="A242" s="6"/>
      <c r="B242" s="6"/>
      <c r="C242" s="6"/>
      <c r="D242" s="11"/>
      <c r="E242" s="6"/>
      <c r="F242" s="6"/>
      <c r="G242" s="11"/>
      <c r="H242" s="6"/>
      <c r="I242" s="6"/>
      <c r="J242" s="11"/>
      <c r="K242" s="6"/>
      <c r="L242" s="6"/>
      <c r="M242" s="11"/>
      <c r="N242" s="6"/>
      <c r="O242" s="6"/>
      <c r="P242" s="139"/>
      <c r="Q242" s="7"/>
      <c r="R242" s="7"/>
      <c r="S242" s="7"/>
      <c r="T242" s="7"/>
      <c r="U242" s="137"/>
      <c r="V242" s="137"/>
      <c r="W242" s="137"/>
      <c r="X242" s="137"/>
      <c r="Y242" s="16"/>
      <c r="Z242" s="16" t="str">
        <f>IF(ORC&gt;0, "Show", "Hide")</f>
        <v>Hide</v>
      </c>
      <c r="AB242" s="4"/>
      <c r="AC242" s="147"/>
      <c r="AD242" s="147"/>
      <c r="AE242" s="4"/>
      <c r="AF242" s="4"/>
      <c r="AG242" s="147"/>
      <c r="AH242" s="147"/>
      <c r="AI242" s="147"/>
      <c r="AJ242" s="147"/>
      <c r="AK242" s="147"/>
      <c r="AL242" s="147"/>
      <c r="AM242" s="147"/>
      <c r="AN242" s="147"/>
      <c r="AO242" s="147"/>
      <c r="AP242" s="147"/>
      <c r="AQ242" s="147"/>
    </row>
    <row r="243" spans="1:43" s="1" customFormat="1" x14ac:dyDescent="0.2">
      <c r="A243" s="145" t="s">
        <v>24</v>
      </c>
      <c r="B243" s="7" t="s">
        <v>7</v>
      </c>
      <c r="C243" s="7"/>
      <c r="D243" s="12"/>
      <c r="E243" s="7"/>
      <c r="F243" s="6"/>
      <c r="G243" s="11"/>
      <c r="H243" s="145" t="s">
        <v>29</v>
      </c>
      <c r="I243" s="6"/>
      <c r="J243" s="6"/>
      <c r="K243" s="6"/>
      <c r="L243" s="6"/>
      <c r="M243" s="11"/>
      <c r="N243" s="6"/>
      <c r="O243" s="6"/>
      <c r="P243" s="139"/>
      <c r="Q243" s="7"/>
      <c r="R243" s="7"/>
      <c r="S243" s="7"/>
      <c r="T243" s="7"/>
      <c r="U243" s="137"/>
      <c r="V243" s="137"/>
      <c r="W243" s="137"/>
      <c r="X243" s="137"/>
      <c r="Y243" s="16"/>
      <c r="Z243" s="16" t="s">
        <v>38</v>
      </c>
      <c r="AB243" s="4"/>
      <c r="AC243" s="55"/>
      <c r="AD243" s="55"/>
      <c r="AE243" s="34"/>
      <c r="AF243" s="34"/>
      <c r="AG243" s="55"/>
      <c r="AH243" s="55"/>
      <c r="AI243" s="55"/>
      <c r="AJ243" s="147"/>
      <c r="AK243" s="147"/>
      <c r="AL243" s="147"/>
      <c r="AM243" s="147"/>
      <c r="AN243" s="147"/>
      <c r="AO243" s="147"/>
      <c r="AP243" s="147"/>
      <c r="AQ243" s="147"/>
    </row>
    <row r="244" spans="1:43" s="1" customFormat="1" x14ac:dyDescent="0.2">
      <c r="A244" s="14">
        <f>INDEX(SortArray,'Ballot Entry'!$AH3,2)</f>
        <v>1577</v>
      </c>
      <c r="B244" s="6" t="str">
        <f>INDEX(SortArray,'Ballot Entry'!$AH3,4)</f>
        <v>Yale</v>
      </c>
      <c r="C244" s="6"/>
      <c r="D244" s="11"/>
      <c r="E244" s="6"/>
      <c r="F244" s="6"/>
      <c r="G244" s="11"/>
      <c r="H244" s="146" t="str">
        <f>INDEX(SortArray,'Ballot Entry'!$AH3,5)&amp;" Wins (CS: "&amp;INDEX(SortArray,'Ballot Entry'!$AH3,7)&amp;", OCS: "&amp;INDEX(SortArray,'Ballot Entry'!$AH3,9)&amp;", PD: "&amp;INDEX(SortArray,'Ballot Entry'!$AH3,10)&amp;")"</f>
        <v>7.5 Wins (CS: 13.5, OCS: 70.5, PD: 48)</v>
      </c>
      <c r="I244" s="6"/>
      <c r="J244" s="6"/>
      <c r="K244" s="6"/>
      <c r="L244" s="6"/>
      <c r="M244" s="11"/>
      <c r="N244" s="6">
        <f t="shared" ref="N244:N258" si="70">VLOOKUP(A244,TeamRecord,10,FALSE)</f>
        <v>0</v>
      </c>
      <c r="P244" s="139"/>
      <c r="Q244" s="7"/>
      <c r="R244" s="7"/>
      <c r="S244" s="7"/>
      <c r="T244" s="7"/>
      <c r="U244" s="137"/>
      <c r="V244" s="137"/>
      <c r="W244" s="137"/>
      <c r="X244" s="137"/>
      <c r="Y244" s="16"/>
      <c r="Z244" s="16" t="str">
        <f>IF(Bids&gt;=1,"Show","Hide")</f>
        <v>Show</v>
      </c>
      <c r="AB244" s="4"/>
      <c r="AC244" s="55"/>
      <c r="AD244" s="55"/>
      <c r="AE244" s="34"/>
      <c r="AF244" s="34"/>
      <c r="AG244" s="55"/>
      <c r="AH244" s="55"/>
      <c r="AI244" s="55"/>
      <c r="AJ244" s="147"/>
      <c r="AK244" s="147"/>
      <c r="AL244" s="147"/>
      <c r="AM244" s="147"/>
      <c r="AN244" s="147"/>
      <c r="AO244" s="147"/>
      <c r="AP244" s="147"/>
      <c r="AQ244" s="147"/>
    </row>
    <row r="245" spans="1:43" s="1" customFormat="1" x14ac:dyDescent="0.2">
      <c r="A245" s="14">
        <f>INDEX(SortArray,'Ballot Entry'!$AH4,2)</f>
        <v>1616</v>
      </c>
      <c r="B245" s="6" t="str">
        <f>INDEX(SortArray,'Ballot Entry'!$AH4,4)</f>
        <v>Chicago</v>
      </c>
      <c r="C245" s="6"/>
      <c r="D245" s="11"/>
      <c r="E245" s="6"/>
      <c r="F245" s="6"/>
      <c r="G245" s="11"/>
      <c r="H245" s="146" t="str">
        <f>INDEX(SortArray,'Ballot Entry'!$AH4,5)&amp;" Wins (CS: "&amp;INDEX(SortArray,'Ballot Entry'!$AH4,7)&amp;", OCS: "&amp;INDEX(SortArray,'Ballot Entry'!$AH4,9)&amp;", PD: "&amp;INDEX(SortArray,'Ballot Entry'!$AH4,10)&amp;")"</f>
        <v>6.5 Wins (CS: 17.5, OCS: 66, PD: 18)</v>
      </c>
      <c r="I245" s="6"/>
      <c r="J245" s="6"/>
      <c r="K245" s="6"/>
      <c r="L245" s="6"/>
      <c r="M245" s="11"/>
      <c r="N245" s="6">
        <f t="shared" si="70"/>
        <v>0</v>
      </c>
      <c r="P245" s="139"/>
      <c r="Q245" s="7"/>
      <c r="R245" s="7"/>
      <c r="S245" s="7"/>
      <c r="T245" s="7"/>
      <c r="U245" s="137"/>
      <c r="V245" s="137"/>
      <c r="W245" s="137"/>
      <c r="X245" s="137"/>
      <c r="Y245" s="16"/>
      <c r="Z245" s="16" t="str">
        <f>IF(Bids&gt;=2,"Show","Hide")</f>
        <v>Show</v>
      </c>
      <c r="AB245" s="4"/>
      <c r="AC245" s="55"/>
      <c r="AD245" s="55"/>
      <c r="AE245" s="34"/>
      <c r="AF245" s="34"/>
      <c r="AG245" s="55"/>
      <c r="AH245" s="55"/>
      <c r="AI245" s="55"/>
      <c r="AJ245" s="147"/>
      <c r="AK245" s="147"/>
      <c r="AL245" s="147"/>
      <c r="AM245" s="147"/>
      <c r="AN245" s="147"/>
      <c r="AO245" s="147"/>
      <c r="AP245" s="147"/>
      <c r="AQ245" s="147"/>
    </row>
    <row r="246" spans="1:43" s="1" customFormat="1" x14ac:dyDescent="0.2">
      <c r="A246" s="14">
        <f>INDEX(SortArray,'Ballot Entry'!$AH5,2)</f>
        <v>1506</v>
      </c>
      <c r="B246" s="6" t="str">
        <f>INDEX(SortArray,'Ballot Entry'!$AH5,4)</f>
        <v>New York</v>
      </c>
      <c r="C246" s="6"/>
      <c r="D246" s="11"/>
      <c r="E246" s="6"/>
      <c r="F246" s="6"/>
      <c r="G246" s="11"/>
      <c r="H246" s="146" t="str">
        <f>INDEX(SortArray,'Ballot Entry'!$AH5,5)&amp;" Wins (CS: "&amp;INDEX(SortArray,'Ballot Entry'!$AH5,7)&amp;", OCS: "&amp;INDEX(SortArray,'Ballot Entry'!$AH5,9)&amp;", PD: "&amp;INDEX(SortArray,'Ballot Entry'!$AH5,10)&amp;")"</f>
        <v>6 Wins (CS: 20, OCS: 71.5, PD: 40)</v>
      </c>
      <c r="I246" s="6"/>
      <c r="J246" s="6"/>
      <c r="K246" s="6"/>
      <c r="L246" s="6"/>
      <c r="M246" s="11"/>
      <c r="N246" s="6">
        <f t="shared" si="70"/>
        <v>0</v>
      </c>
      <c r="P246" s="139"/>
      <c r="Q246" s="7"/>
      <c r="R246" s="7"/>
      <c r="S246" s="7"/>
      <c r="T246" s="7"/>
      <c r="U246" s="137"/>
      <c r="V246" s="137"/>
      <c r="W246" s="137"/>
      <c r="X246" s="137"/>
      <c r="Y246" s="16"/>
      <c r="Z246" s="16" t="str">
        <f>IF(Bids&gt;=4,"Show","Hide")</f>
        <v>Show</v>
      </c>
      <c r="AB246" s="4"/>
      <c r="AC246" s="55"/>
      <c r="AD246" s="55"/>
      <c r="AE246" s="34"/>
      <c r="AF246" s="34"/>
      <c r="AG246" s="55"/>
      <c r="AH246" s="55"/>
      <c r="AI246" s="55"/>
      <c r="AJ246" s="147"/>
      <c r="AK246" s="147"/>
      <c r="AL246" s="147"/>
      <c r="AM246" s="147"/>
      <c r="AN246" s="147"/>
      <c r="AO246" s="147"/>
      <c r="AP246" s="147"/>
      <c r="AQ246" s="147"/>
    </row>
    <row r="247" spans="1:43" s="1" customFormat="1" x14ac:dyDescent="0.2">
      <c r="A247" s="14">
        <f>INDEX(SortArray,'Ballot Entry'!$AH6,2)</f>
        <v>1268</v>
      </c>
      <c r="B247" s="6" t="str">
        <f>INDEX(SortArray,'Ballot Entry'!$AH6,4)</f>
        <v>Columbia</v>
      </c>
      <c r="C247" s="6"/>
      <c r="D247" s="11"/>
      <c r="E247" s="6"/>
      <c r="F247" s="6"/>
      <c r="G247" s="11"/>
      <c r="H247" s="146" t="str">
        <f>INDEX(SortArray,'Ballot Entry'!$AH6,5)&amp;" Wins (CS: "&amp;INDEX(SortArray,'Ballot Entry'!$AH6,7)&amp;", OCS: "&amp;INDEX(SortArray,'Ballot Entry'!$AH6,9)&amp;", PD: "&amp;INDEX(SortArray,'Ballot Entry'!$AH6,10)&amp;")"</f>
        <v>5 Wins (CS: 14.5, OCS: 65.5, PD: 51)</v>
      </c>
      <c r="I247" s="6"/>
      <c r="J247" s="6"/>
      <c r="K247" s="6"/>
      <c r="L247" s="6"/>
      <c r="M247" s="11"/>
      <c r="N247" s="6">
        <f t="shared" si="70"/>
        <v>0</v>
      </c>
      <c r="P247" s="139"/>
      <c r="Q247" s="7"/>
      <c r="R247" s="7"/>
      <c r="S247" s="7"/>
      <c r="T247" s="7"/>
      <c r="U247" s="137"/>
      <c r="V247" s="137"/>
      <c r="W247" s="137"/>
      <c r="X247" s="137"/>
      <c r="Y247" s="16"/>
      <c r="Z247" s="16" t="str">
        <f>IF(Bids&gt;=3,"Show","Hide")</f>
        <v>Show</v>
      </c>
      <c r="AB247" s="4"/>
      <c r="AC247" s="55"/>
      <c r="AD247" s="55"/>
      <c r="AE247" s="34"/>
      <c r="AF247" s="34"/>
      <c r="AG247" s="55"/>
      <c r="AH247" s="55"/>
      <c r="AI247" s="55"/>
      <c r="AJ247" s="147"/>
      <c r="AK247" s="147"/>
      <c r="AL247" s="147"/>
      <c r="AM247" s="147"/>
      <c r="AN247" s="147"/>
      <c r="AO247" s="147"/>
      <c r="AP247" s="147"/>
      <c r="AQ247" s="147"/>
    </row>
    <row r="248" spans="1:43" s="1" customFormat="1" x14ac:dyDescent="0.2">
      <c r="A248" s="14">
        <f>INDEX(SortArray,'Ballot Entry'!$AH7,2)</f>
        <v>1224</v>
      </c>
      <c r="B248" s="6" t="str">
        <f>INDEX(SortArray,'Ballot Entry'!$AH7,4)</f>
        <v>Michigan</v>
      </c>
      <c r="C248" s="6"/>
      <c r="D248" s="11"/>
      <c r="E248" s="6"/>
      <c r="F248" s="6"/>
      <c r="G248" s="11"/>
      <c r="H248" s="146" t="str">
        <f>INDEX(SortArray,'Ballot Entry'!$AH7,5)&amp;" Wins (CS: "&amp;INDEX(SortArray,'Ballot Entry'!$AH7,7)&amp;", OCS: "&amp;INDEX(SortArray,'Ballot Entry'!$AH7,9)&amp;", PD: "&amp;INDEX(SortArray,'Ballot Entry'!$AH7,10)&amp;")"</f>
        <v>5 Wins (CS: 14, OCS: 64.5, PD: -13)</v>
      </c>
      <c r="I248" s="6"/>
      <c r="J248" s="6"/>
      <c r="K248" s="6"/>
      <c r="L248" s="6"/>
      <c r="M248" s="11"/>
      <c r="N248" s="6">
        <f t="shared" si="70"/>
        <v>0</v>
      </c>
      <c r="P248" s="139"/>
      <c r="Q248" s="7"/>
      <c r="R248" s="7"/>
      <c r="S248" s="7"/>
      <c r="T248" s="7"/>
      <c r="U248" s="137"/>
      <c r="V248" s="137"/>
      <c r="W248" s="137"/>
      <c r="X248" s="137"/>
      <c r="Y248" s="16"/>
      <c r="Z248" s="16" t="str">
        <f>IF(Bids&gt;=5,"Show","Hide")</f>
        <v>Show</v>
      </c>
      <c r="AB248" s="4"/>
      <c r="AC248" s="55"/>
      <c r="AD248" s="55"/>
      <c r="AE248" s="34"/>
      <c r="AF248" s="34"/>
      <c r="AG248" s="55"/>
      <c r="AH248" s="55"/>
      <c r="AI248" s="55"/>
      <c r="AJ248" s="147"/>
      <c r="AK248" s="147"/>
      <c r="AL248" s="147"/>
      <c r="AM248" s="147"/>
      <c r="AN248" s="147"/>
      <c r="AO248" s="147"/>
      <c r="AP248" s="147"/>
      <c r="AQ248" s="147"/>
    </row>
    <row r="249" spans="1:43" s="1" customFormat="1" hidden="1" x14ac:dyDescent="0.2">
      <c r="A249" s="14">
        <f>INDEX(SortArray,'Ballot Entry'!$AH8,2)</f>
        <v>1078</v>
      </c>
      <c r="B249" s="6" t="str">
        <f>INDEX(SortArray,'Ballot Entry'!$AH8,4)</f>
        <v>Rhodes</v>
      </c>
      <c r="C249" s="6"/>
      <c r="D249" s="11"/>
      <c r="E249" s="6"/>
      <c r="F249" s="6"/>
      <c r="G249" s="11"/>
      <c r="H249" s="146" t="str">
        <f>INDEX(SortArray,'Ballot Entry'!$AH8,5)&amp;" Wins (CS: "&amp;INDEX(SortArray,'Ballot Entry'!$AH8,7)&amp;", OCS: "&amp;INDEX(SortArray,'Ballot Entry'!$AH8,9)&amp;", PD: "&amp;INDEX(SortArray,'Ballot Entry'!$AH8,10)&amp;")"</f>
        <v>4.5 Wins (CS: 19, OCS: 69, PD: 15)</v>
      </c>
      <c r="I249" s="6"/>
      <c r="J249" s="6"/>
      <c r="K249" s="6"/>
      <c r="L249" s="6"/>
      <c r="M249" s="11"/>
      <c r="N249" s="6">
        <f t="shared" si="70"/>
        <v>0</v>
      </c>
      <c r="P249" s="139"/>
      <c r="Q249" s="7"/>
      <c r="R249" s="7"/>
      <c r="S249" s="7"/>
      <c r="T249" s="7"/>
      <c r="U249" s="137"/>
      <c r="V249" s="137"/>
      <c r="W249" s="137"/>
      <c r="X249" s="137"/>
      <c r="Y249" s="16"/>
      <c r="Z249" s="16" t="str">
        <f>IF(Bids&gt;=6,"Show","Hide")</f>
        <v>Hide</v>
      </c>
      <c r="AB249" s="4"/>
      <c r="AC249" s="55"/>
      <c r="AD249" s="55"/>
      <c r="AE249" s="34"/>
      <c r="AF249" s="34"/>
      <c r="AG249" s="55"/>
      <c r="AH249" s="55"/>
      <c r="AI249" s="55"/>
      <c r="AJ249" s="147"/>
      <c r="AK249" s="147"/>
      <c r="AL249" s="147"/>
      <c r="AM249" s="147"/>
      <c r="AN249" s="147"/>
      <c r="AO249" s="147"/>
      <c r="AP249" s="147"/>
      <c r="AQ249" s="147"/>
    </row>
    <row r="250" spans="1:43" s="1" customFormat="1" hidden="1" x14ac:dyDescent="0.2">
      <c r="A250" s="14">
        <f>INDEX(SortArray,'Ballot Entry'!$AH9,2)</f>
        <v>1517</v>
      </c>
      <c r="B250" s="6" t="str">
        <f>INDEX(SortArray,'Ballot Entry'!$AH9,4)</f>
        <v>UC Irvine</v>
      </c>
      <c r="C250" s="6"/>
      <c r="D250" s="11"/>
      <c r="E250" s="6"/>
      <c r="F250" s="6"/>
      <c r="G250" s="11"/>
      <c r="H250" s="146" t="str">
        <f>INDEX(SortArray,'Ballot Entry'!$AH9,5)&amp;" Wins (CS: "&amp;INDEX(SortArray,'Ballot Entry'!$AH9,7)&amp;", OCS: "&amp;INDEX(SortArray,'Ballot Entry'!$AH9,9)&amp;", PD: "&amp;INDEX(SortArray,'Ballot Entry'!$AH9,10)&amp;")"</f>
        <v>4.5 Wins (CS: 17, OCS: 63, PD: -10)</v>
      </c>
      <c r="I250" s="6"/>
      <c r="J250" s="6"/>
      <c r="K250" s="6"/>
      <c r="L250" s="6"/>
      <c r="M250" s="11"/>
      <c r="N250" s="6">
        <f t="shared" si="70"/>
        <v>0</v>
      </c>
      <c r="P250" s="139"/>
      <c r="Q250" s="7"/>
      <c r="R250" s="7"/>
      <c r="S250" s="7"/>
      <c r="T250" s="7"/>
      <c r="U250" s="137"/>
      <c r="V250" s="137"/>
      <c r="W250" s="137"/>
      <c r="X250" s="137"/>
      <c r="Y250" s="16"/>
      <c r="Z250" s="16" t="str">
        <f>IF(Bids&gt;=7,"Show","Hide")</f>
        <v>Hide</v>
      </c>
      <c r="AB250" s="4"/>
      <c r="AC250" s="55"/>
      <c r="AD250" s="55"/>
      <c r="AE250" s="34"/>
      <c r="AF250" s="34"/>
      <c r="AG250" s="55"/>
      <c r="AH250" s="55"/>
      <c r="AI250" s="55"/>
      <c r="AJ250" s="147"/>
      <c r="AK250" s="147"/>
      <c r="AL250" s="147"/>
      <c r="AM250" s="147"/>
      <c r="AN250" s="147"/>
      <c r="AO250" s="147"/>
      <c r="AP250" s="147"/>
      <c r="AQ250" s="147"/>
    </row>
    <row r="251" spans="1:43" s="1" customFormat="1" hidden="1" x14ac:dyDescent="0.2">
      <c r="A251" s="14">
        <f>INDEX(SortArray,'Ballot Entry'!$AH10,2)</f>
        <v>1029</v>
      </c>
      <c r="B251" s="6" t="str">
        <f>INDEX(SortArray,'Ballot Entry'!$AH10,4)</f>
        <v>Cornell</v>
      </c>
      <c r="C251" s="6"/>
      <c r="D251" s="11"/>
      <c r="E251" s="6"/>
      <c r="F251" s="6"/>
      <c r="G251" s="11"/>
      <c r="H251" s="146" t="str">
        <f>INDEX(SortArray,'Ballot Entry'!$AH10,5)&amp;" Wins (CS: "&amp;INDEX(SortArray,'Ballot Entry'!$AH10,7)&amp;", OCS: "&amp;INDEX(SortArray,'Ballot Entry'!$AH10,9)&amp;", PD: "&amp;INDEX(SortArray,'Ballot Entry'!$AH10,10)&amp;")"</f>
        <v>4.5 Wins (CS: 16.5, OCS: 68, PD: 13)</v>
      </c>
      <c r="I251" s="6"/>
      <c r="J251" s="6"/>
      <c r="K251" s="6"/>
      <c r="L251" s="6"/>
      <c r="M251" s="11"/>
      <c r="N251" s="6">
        <f t="shared" si="70"/>
        <v>0</v>
      </c>
      <c r="P251" s="139"/>
      <c r="Q251" s="7"/>
      <c r="R251" s="7"/>
      <c r="S251" s="7"/>
      <c r="T251" s="7"/>
      <c r="U251" s="137"/>
      <c r="V251" s="137"/>
      <c r="W251" s="137"/>
      <c r="X251" s="137"/>
      <c r="Y251" s="16"/>
      <c r="Z251" s="16" t="str">
        <f>IF(Bids&gt;=8,"Show","Hide")</f>
        <v>Hide</v>
      </c>
      <c r="AB251" s="4"/>
      <c r="AC251" s="55"/>
      <c r="AD251" s="55"/>
      <c r="AE251" s="34"/>
      <c r="AF251" s="34"/>
      <c r="AG251" s="55"/>
      <c r="AH251" s="55"/>
      <c r="AI251" s="55"/>
      <c r="AJ251" s="147"/>
      <c r="AK251" s="147"/>
      <c r="AL251" s="147"/>
      <c r="AM251" s="147"/>
      <c r="AN251" s="147"/>
      <c r="AO251" s="147"/>
      <c r="AP251" s="147"/>
      <c r="AQ251" s="147"/>
    </row>
    <row r="252" spans="1:43" s="1" customFormat="1" hidden="1" x14ac:dyDescent="0.2">
      <c r="A252" s="14">
        <f>INDEX(SortArray,'Ballot Entry'!$AH11,2)</f>
        <v>1001</v>
      </c>
      <c r="B252" s="6" t="str">
        <f>INDEX(SortArray,'Ballot Entry'!$AH11,4)</f>
        <v>Virginia</v>
      </c>
      <c r="C252" s="6"/>
      <c r="D252" s="11"/>
      <c r="E252" s="6"/>
      <c r="F252" s="6"/>
      <c r="G252" s="11"/>
      <c r="H252" s="146" t="str">
        <f>INDEX(SortArray,'Ballot Entry'!$AH11,5)&amp;" Wins (CS: "&amp;INDEX(SortArray,'Ballot Entry'!$AH11,7)&amp;", OCS: "&amp;INDEX(SortArray,'Ballot Entry'!$AH11,9)&amp;", PD: "&amp;INDEX(SortArray,'Ballot Entry'!$AH11,10)&amp;")"</f>
        <v>4 Wins (CS: 21, OCS: 64.5, PD: 2)</v>
      </c>
      <c r="I252" s="6"/>
      <c r="J252" s="6"/>
      <c r="K252" s="6"/>
      <c r="L252" s="6"/>
      <c r="M252" s="11"/>
      <c r="N252" s="6">
        <f t="shared" si="70"/>
        <v>0</v>
      </c>
      <c r="P252" s="139"/>
      <c r="Q252" s="7"/>
      <c r="R252" s="7"/>
      <c r="S252" s="7"/>
      <c r="T252" s="7"/>
      <c r="U252" s="137"/>
      <c r="V252" s="137"/>
      <c r="W252" s="137"/>
      <c r="X252" s="137"/>
      <c r="Y252" s="16"/>
      <c r="Z252" s="16" t="str">
        <f>IF(Bids&gt;=9,"Show","Hide")</f>
        <v>Hide</v>
      </c>
      <c r="AB252" s="4"/>
      <c r="AC252" s="55"/>
      <c r="AD252" s="55"/>
      <c r="AE252" s="34"/>
      <c r="AF252" s="34"/>
      <c r="AG252" s="55"/>
      <c r="AH252" s="55"/>
      <c r="AI252" s="55"/>
      <c r="AJ252" s="147"/>
      <c r="AK252" s="147"/>
      <c r="AL252" s="147"/>
      <c r="AM252" s="147"/>
      <c r="AN252" s="147"/>
      <c r="AO252" s="147"/>
      <c r="AP252" s="147"/>
      <c r="AQ252" s="147"/>
    </row>
    <row r="253" spans="1:43" s="1" customFormat="1" hidden="1" x14ac:dyDescent="0.2">
      <c r="A253" s="14">
        <f>INDEX(SortArray,'Ballot Entry'!$AH12,2)</f>
        <v>1557</v>
      </c>
      <c r="B253" s="6" t="str">
        <f>INDEX(SortArray,'Ballot Entry'!$AH12,4)</f>
        <v>Harvard</v>
      </c>
      <c r="C253" s="6"/>
      <c r="D253" s="11"/>
      <c r="E253" s="6"/>
      <c r="F253" s="6"/>
      <c r="G253" s="11"/>
      <c r="H253" s="146" t="str">
        <f>INDEX(SortArray,'Ballot Entry'!$AH12,5)&amp;" Wins (CS: "&amp;INDEX(SortArray,'Ballot Entry'!$AH12,7)&amp;", OCS: "&amp;INDEX(SortArray,'Ballot Entry'!$AH12,9)&amp;", PD: "&amp;INDEX(SortArray,'Ballot Entry'!$AH12,10)&amp;")"</f>
        <v>4 Wins (CS: 16.5, OCS: 62.5, PD: 7)</v>
      </c>
      <c r="I253" s="6"/>
      <c r="J253" s="6"/>
      <c r="K253" s="6"/>
      <c r="L253" s="6"/>
      <c r="M253" s="11"/>
      <c r="N253" s="6">
        <f t="shared" si="70"/>
        <v>0</v>
      </c>
      <c r="P253" s="139"/>
      <c r="Q253" s="7"/>
      <c r="R253" s="7"/>
      <c r="S253" s="7"/>
      <c r="T253" s="7"/>
      <c r="U253" s="137"/>
      <c r="V253" s="137"/>
      <c r="W253" s="137"/>
      <c r="X253" s="137"/>
      <c r="Y253" s="16"/>
      <c r="Z253" s="16" t="str">
        <f>IF(Bids&gt;=10,"Show","Hide")</f>
        <v>Hide</v>
      </c>
      <c r="AB253" s="4"/>
      <c r="AC253" s="55"/>
      <c r="AD253" s="55"/>
      <c r="AE253" s="34"/>
      <c r="AF253" s="34"/>
      <c r="AG253" s="55"/>
      <c r="AH253" s="55"/>
      <c r="AI253" s="55"/>
      <c r="AJ253" s="147"/>
      <c r="AK253" s="147"/>
      <c r="AL253" s="147"/>
      <c r="AM253" s="147"/>
      <c r="AN253" s="147"/>
      <c r="AO253" s="147"/>
      <c r="AP253" s="147"/>
      <c r="AQ253" s="147"/>
    </row>
    <row r="254" spans="1:43" s="1" customFormat="1" hidden="1" x14ac:dyDescent="0.2">
      <c r="A254" s="14">
        <f>INDEX(SortArray,'Ballot Entry'!$AH13,2)</f>
        <v>1492</v>
      </c>
      <c r="B254" s="6" t="str">
        <f>INDEX(SortArray,'Ballot Entry'!$AH13,4)</f>
        <v>UCLA</v>
      </c>
      <c r="C254" s="6"/>
      <c r="D254" s="11"/>
      <c r="E254" s="6"/>
      <c r="F254" s="6"/>
      <c r="G254" s="11"/>
      <c r="H254" s="146" t="str">
        <f>INDEX(SortArray,'Ballot Entry'!$AH13,5)&amp;" Wins (CS: "&amp;INDEX(SortArray,'Ballot Entry'!$AH13,7)&amp;", OCS: "&amp;INDEX(SortArray,'Ballot Entry'!$AH13,9)&amp;", PD: "&amp;INDEX(SortArray,'Ballot Entry'!$AH13,10)&amp;")"</f>
        <v>4 Wins (CS: 16.5, OCS: 60.5, PD: -20)</v>
      </c>
      <c r="I254" s="6"/>
      <c r="J254" s="6"/>
      <c r="K254" s="6"/>
      <c r="L254" s="6"/>
      <c r="M254" s="11"/>
      <c r="N254" s="6">
        <f t="shared" si="70"/>
        <v>0</v>
      </c>
      <c r="P254" s="139"/>
      <c r="Q254" s="7"/>
      <c r="R254" s="7"/>
      <c r="S254" s="7"/>
      <c r="T254" s="7"/>
      <c r="U254" s="137"/>
      <c r="V254" s="137"/>
      <c r="W254" s="137"/>
      <c r="X254" s="137"/>
      <c r="Y254" s="16"/>
      <c r="Z254" s="16" t="str">
        <f>IF(Bids&gt;=11,"Show","Hide")</f>
        <v>Hide</v>
      </c>
      <c r="AB254" s="4"/>
      <c r="AC254" s="55"/>
      <c r="AD254" s="55"/>
      <c r="AE254" s="34"/>
      <c r="AF254" s="34"/>
      <c r="AG254" s="55"/>
      <c r="AH254" s="55"/>
      <c r="AI254" s="55"/>
      <c r="AJ254" s="147"/>
      <c r="AK254" s="147"/>
      <c r="AL254" s="147"/>
      <c r="AM254" s="147"/>
      <c r="AN254" s="147"/>
      <c r="AO254" s="147"/>
      <c r="AP254" s="147"/>
      <c r="AQ254" s="147"/>
    </row>
    <row r="255" spans="1:43" s="1" customFormat="1" hidden="1" x14ac:dyDescent="0.2">
      <c r="A255" s="14">
        <f>INDEX(SortArray,'Ballot Entry'!$AH14,2)</f>
        <v>1262</v>
      </c>
      <c r="B255" s="6" t="str">
        <f>INDEX(SortArray,'Ballot Entry'!$AH14,4)</f>
        <v>Tufts</v>
      </c>
      <c r="C255" s="6"/>
      <c r="D255" s="11"/>
      <c r="E255" s="6"/>
      <c r="F255" s="6"/>
      <c r="G255" s="11"/>
      <c r="H255" s="146" t="str">
        <f>INDEX(SortArray,'Ballot Entry'!$AH14,5)&amp;" Wins (CS: "&amp;INDEX(SortArray,'Ballot Entry'!$AH14,7)&amp;", OCS: "&amp;INDEX(SortArray,'Ballot Entry'!$AH14,9)&amp;", PD: "&amp;INDEX(SortArray,'Ballot Entry'!$AH14,10)&amp;")"</f>
        <v>3.5 Wins (CS: 17.5, OCS: 69, PD: -3)</v>
      </c>
      <c r="I255" s="6"/>
      <c r="J255" s="6"/>
      <c r="K255" s="6"/>
      <c r="L255" s="6"/>
      <c r="M255" s="11"/>
      <c r="N255" s="6">
        <f t="shared" si="70"/>
        <v>0</v>
      </c>
      <c r="P255" s="139"/>
      <c r="Q255" s="7"/>
      <c r="R255" s="7"/>
      <c r="S255" s="7"/>
      <c r="T255" s="7"/>
      <c r="U255" s="137"/>
      <c r="V255" s="137"/>
      <c r="W255" s="137"/>
      <c r="X255" s="137"/>
      <c r="Y255" s="16"/>
      <c r="Z255" s="16" t="str">
        <f>IF(Bids&gt;=12,"Show","Hide")</f>
        <v>Hide</v>
      </c>
      <c r="AB255" s="4"/>
      <c r="AC255" s="55"/>
      <c r="AD255" s="55"/>
      <c r="AE255" s="34"/>
      <c r="AF255" s="34"/>
      <c r="AG255" s="55"/>
      <c r="AH255" s="55"/>
      <c r="AI255" s="55"/>
      <c r="AJ255" s="147"/>
      <c r="AK255" s="147"/>
      <c r="AL255" s="147"/>
      <c r="AM255" s="147"/>
      <c r="AN255" s="147"/>
      <c r="AO255" s="147"/>
      <c r="AP255" s="147"/>
      <c r="AQ255" s="147"/>
    </row>
    <row r="256" spans="1:43" s="1" customFormat="1" hidden="1" x14ac:dyDescent="0.2">
      <c r="A256" s="14">
        <f>INDEX(SortArray,'Ballot Entry'!$AH15,2)</f>
        <v>1410</v>
      </c>
      <c r="B256" s="6" t="str">
        <f>INDEX(SortArray,'Ballot Entry'!$AH15,4)</f>
        <v>Ohio State</v>
      </c>
      <c r="C256" s="6"/>
      <c r="D256" s="11"/>
      <c r="E256" s="6"/>
      <c r="F256" s="6"/>
      <c r="G256" s="11"/>
      <c r="H256" s="146" t="str">
        <f>INDEX(SortArray,'Ballot Entry'!$AH15,5)&amp;" Wins (CS: "&amp;INDEX(SortArray,'Ballot Entry'!$AH15,7)&amp;", OCS: "&amp;INDEX(SortArray,'Ballot Entry'!$AH15,9)&amp;", PD: "&amp;INDEX(SortArray,'Ballot Entry'!$AH15,10)&amp;")"</f>
        <v>3.5 Wins (CS: 12, OCS: 59.5, PD: 11)</v>
      </c>
      <c r="I256" s="6"/>
      <c r="J256" s="6"/>
      <c r="K256" s="6"/>
      <c r="L256" s="6"/>
      <c r="M256" s="11"/>
      <c r="N256" s="6">
        <f t="shared" si="70"/>
        <v>0</v>
      </c>
      <c r="P256" s="139"/>
      <c r="Q256" s="7"/>
      <c r="R256" s="7"/>
      <c r="S256" s="7"/>
      <c r="T256" s="7"/>
      <c r="U256" s="137"/>
      <c r="V256" s="137"/>
      <c r="W256" s="137"/>
      <c r="X256" s="137"/>
      <c r="Y256" s="16"/>
      <c r="Z256" s="16" t="str">
        <f>IF(Bids&gt;=13,"Show","Hide")</f>
        <v>Hide</v>
      </c>
      <c r="AB256" s="4"/>
      <c r="AC256" s="55"/>
      <c r="AD256" s="55"/>
      <c r="AE256" s="34"/>
      <c r="AF256" s="34"/>
      <c r="AG256" s="55"/>
      <c r="AH256" s="55"/>
      <c r="AI256" s="55"/>
      <c r="AJ256" s="147"/>
      <c r="AK256" s="147"/>
      <c r="AL256" s="147"/>
      <c r="AM256" s="147"/>
      <c r="AN256" s="147"/>
      <c r="AO256" s="147"/>
      <c r="AP256" s="147"/>
      <c r="AQ256" s="147"/>
    </row>
    <row r="257" spans="1:43" s="1" customFormat="1" hidden="1" x14ac:dyDescent="0.2">
      <c r="A257" s="14">
        <f>INDEX(SortArray,'Ballot Entry'!$AH16,2)</f>
        <v>1258</v>
      </c>
      <c r="B257" s="6" t="str">
        <f>INDEX(SortArray,'Ballot Entry'!$AH16,4)</f>
        <v>UC Berkeley</v>
      </c>
      <c r="C257" s="6"/>
      <c r="D257" s="11"/>
      <c r="E257" s="6"/>
      <c r="F257" s="6"/>
      <c r="G257" s="11"/>
      <c r="H257" s="146" t="str">
        <f>INDEX(SortArray,'Ballot Entry'!$AH16,5)&amp;" Wins (CS: "&amp;INDEX(SortArray,'Ballot Entry'!$AH16,7)&amp;", OCS: "&amp;INDEX(SortArray,'Ballot Entry'!$AH16,9)&amp;", PD: "&amp;INDEX(SortArray,'Ballot Entry'!$AH16,10)&amp;")"</f>
        <v>3 Wins (CS: 14.5, OCS: 66, PD: -4)</v>
      </c>
      <c r="I257" s="6"/>
      <c r="J257" s="6"/>
      <c r="K257" s="6"/>
      <c r="L257" s="6"/>
      <c r="M257" s="11"/>
      <c r="N257" s="6">
        <f t="shared" si="70"/>
        <v>0</v>
      </c>
      <c r="P257" s="139"/>
      <c r="Q257" s="7"/>
      <c r="R257" s="7"/>
      <c r="S257" s="7"/>
      <c r="T257" s="7"/>
      <c r="U257" s="137"/>
      <c r="V257" s="137"/>
      <c r="W257" s="137"/>
      <c r="X257" s="137"/>
      <c r="Y257" s="16"/>
      <c r="Z257" s="16" t="str">
        <f>IF(Bids&gt;=14,"Show","Hide")</f>
        <v>Hide</v>
      </c>
      <c r="AB257" s="4"/>
      <c r="AC257" s="55"/>
      <c r="AD257" s="55"/>
      <c r="AE257" s="34"/>
      <c r="AF257" s="34"/>
      <c r="AG257" s="55"/>
      <c r="AH257" s="55"/>
      <c r="AI257" s="55"/>
      <c r="AJ257" s="147"/>
      <c r="AK257" s="147"/>
      <c r="AL257" s="147"/>
      <c r="AM257" s="147"/>
      <c r="AN257" s="147"/>
      <c r="AO257" s="147"/>
      <c r="AP257" s="147"/>
      <c r="AQ257" s="147"/>
    </row>
    <row r="258" spans="1:43" s="1" customFormat="1" hidden="1" x14ac:dyDescent="0.2">
      <c r="A258" s="14">
        <f>INDEX(SortArray,'Ballot Entry'!$AH17,2)</f>
        <v>1217</v>
      </c>
      <c r="B258" s="6" t="str">
        <f>INDEX(SortArray,'Ballot Entry'!$AH17,4)</f>
        <v>Northwood</v>
      </c>
      <c r="C258" s="6"/>
      <c r="D258" s="11"/>
      <c r="E258" s="6"/>
      <c r="F258" s="6"/>
      <c r="G258" s="11"/>
      <c r="H258" s="146" t="str">
        <f>INDEX(SortArray,'Ballot Entry'!$AH17,5)&amp;" Wins (CS: "&amp;INDEX(SortArray,'Ballot Entry'!$AH17,7)&amp;", OCS: "&amp;INDEX(SortArray,'Ballot Entry'!$AH17,9)&amp;", PD: "&amp;INDEX(SortArray,'Ballot Entry'!$AH17,10)&amp;")"</f>
        <v>2.5 Wins (CS: 12, OCS: 59, PD: -9)</v>
      </c>
      <c r="I258" s="6"/>
      <c r="J258" s="6"/>
      <c r="K258" s="6"/>
      <c r="L258" s="6"/>
      <c r="M258" s="11"/>
      <c r="N258" s="6">
        <f t="shared" si="70"/>
        <v>0</v>
      </c>
      <c r="P258" s="139"/>
      <c r="Q258" s="7"/>
      <c r="R258" s="7"/>
      <c r="S258" s="7"/>
      <c r="T258" s="7"/>
      <c r="U258" s="137"/>
      <c r="V258" s="137"/>
      <c r="W258" s="137"/>
      <c r="X258" s="137"/>
      <c r="Y258" s="16"/>
      <c r="Z258" s="16" t="str">
        <f>IF(Bids&gt;=15,"Show","Hide")</f>
        <v>Hide</v>
      </c>
      <c r="AB258" s="4"/>
      <c r="AC258" s="55"/>
      <c r="AD258" s="55"/>
      <c r="AE258" s="34"/>
      <c r="AF258" s="34"/>
      <c r="AG258" s="55"/>
      <c r="AH258" s="55"/>
      <c r="AI258" s="55"/>
      <c r="AJ258" s="147"/>
      <c r="AK258" s="147"/>
      <c r="AL258" s="147"/>
      <c r="AM258" s="147"/>
      <c r="AN258" s="147"/>
      <c r="AO258" s="147"/>
      <c r="AP258" s="147"/>
      <c r="AQ258" s="147"/>
    </row>
    <row r="259" spans="1:43" s="1" customFormat="1" x14ac:dyDescent="0.2">
      <c r="A259" s="6"/>
      <c r="B259" s="6"/>
      <c r="C259" s="6"/>
      <c r="D259" s="11"/>
      <c r="E259" s="6"/>
      <c r="F259" s="6"/>
      <c r="G259" s="11"/>
      <c r="H259" s="6"/>
      <c r="I259" s="6"/>
      <c r="J259" s="11"/>
      <c r="K259" s="6"/>
      <c r="L259" s="6"/>
      <c r="M259" s="11"/>
      <c r="N259" s="6"/>
      <c r="O259" s="6"/>
      <c r="P259" s="139"/>
      <c r="Q259" s="7"/>
      <c r="R259" s="7"/>
      <c r="S259" s="7"/>
      <c r="T259" s="7"/>
      <c r="U259" s="137"/>
      <c r="V259" s="137"/>
      <c r="W259" s="137"/>
      <c r="X259" s="137"/>
      <c r="Y259" s="16"/>
      <c r="Z259" s="16" t="str">
        <f>IF(HMCalc&gt;=1,"Show","Hide")</f>
        <v>Show</v>
      </c>
      <c r="AB259" s="4"/>
      <c r="AC259" s="55"/>
      <c r="AD259" s="55"/>
      <c r="AE259" s="34"/>
      <c r="AF259" s="34"/>
      <c r="AG259" s="55"/>
      <c r="AH259" s="55"/>
      <c r="AI259" s="55"/>
      <c r="AJ259" s="147"/>
      <c r="AK259" s="147"/>
      <c r="AL259" s="147"/>
      <c r="AM259" s="147"/>
      <c r="AN259" s="147"/>
      <c r="AO259" s="147"/>
      <c r="AP259" s="147"/>
      <c r="AQ259" s="147"/>
    </row>
    <row r="260" spans="1:43" s="1" customFormat="1" x14ac:dyDescent="0.2">
      <c r="A260" s="145" t="s">
        <v>73</v>
      </c>
      <c r="B260" s="6"/>
      <c r="C260" s="6"/>
      <c r="D260" s="11"/>
      <c r="E260" s="6"/>
      <c r="F260" s="6"/>
      <c r="G260" s="11"/>
      <c r="H260" s="6"/>
      <c r="I260" s="6"/>
      <c r="J260" s="11"/>
      <c r="K260" s="6"/>
      <c r="L260" s="6"/>
      <c r="M260" s="11"/>
      <c r="N260" s="6"/>
      <c r="O260" s="6"/>
      <c r="P260" s="139"/>
      <c r="Q260" s="7"/>
      <c r="R260" s="7"/>
      <c r="S260" s="7"/>
      <c r="T260" s="7"/>
      <c r="U260" s="137"/>
      <c r="V260" s="137"/>
      <c r="W260" s="137"/>
      <c r="X260" s="137"/>
      <c r="Y260" s="16"/>
      <c r="Z260" s="16" t="str">
        <f>IF(HMCalc&gt;=1,"Show","Hide")</f>
        <v>Show</v>
      </c>
      <c r="AB260" s="4"/>
      <c r="AC260" s="55"/>
      <c r="AD260" s="55"/>
      <c r="AE260" s="34"/>
      <c r="AF260" s="34"/>
      <c r="AG260" s="55"/>
      <c r="AH260" s="55"/>
      <c r="AI260" s="55"/>
      <c r="AJ260" s="147"/>
      <c r="AK260" s="147"/>
      <c r="AL260" s="147"/>
      <c r="AM260" s="147"/>
      <c r="AN260" s="147"/>
      <c r="AO260" s="147"/>
      <c r="AP260" s="147"/>
      <c r="AQ260" s="147"/>
    </row>
    <row r="261" spans="1:43" s="1" customFormat="1" x14ac:dyDescent="0.2">
      <c r="A261" s="14">
        <f>IF(HMCalc&gt;=1,INDEX(SortArray,INDEX(Offset,Bids+1),2), NA())</f>
        <v>1078</v>
      </c>
      <c r="B261" s="6" t="str">
        <f>INDEX(SortArray,INDEX(Offset,Bids+1),4)</f>
        <v>Rhodes</v>
      </c>
      <c r="C261" s="6"/>
      <c r="D261" s="11"/>
      <c r="E261" s="6"/>
      <c r="F261" s="6"/>
      <c r="G261" s="11"/>
      <c r="H261" s="146" t="str">
        <f>INDEX(SortArray,INDEX(Offset,Bids+1),5)&amp;" Wins (CS: "&amp;INDEX(SortArray,INDEX(Offset,Bids+1),7)&amp;", OCS: "&amp;INDEX(SortArray,INDEX(Offset,Bids+1),9)&amp;", PD: "&amp;INDEX(SortArray,INDEX(Offset,Bids+1),10)&amp;")"</f>
        <v>4.5 Wins (CS: 19, OCS: 69, PD: 15)</v>
      </c>
      <c r="I261" s="6"/>
      <c r="J261" s="11"/>
      <c r="K261" s="6"/>
      <c r="L261" s="6"/>
      <c r="M261" s="11"/>
      <c r="N261" s="6"/>
      <c r="O261" s="6"/>
      <c r="P261" s="139"/>
      <c r="Q261" s="7"/>
      <c r="R261" s="7"/>
      <c r="S261" s="7"/>
      <c r="T261" s="7"/>
      <c r="U261" s="137"/>
      <c r="V261" s="137"/>
      <c r="W261" s="137"/>
      <c r="X261" s="137"/>
      <c r="Y261" s="16"/>
      <c r="Z261" s="16" t="str">
        <f>IF(HMCalc&gt;=1,"Show","Hide")</f>
        <v>Show</v>
      </c>
      <c r="AB261" s="4"/>
      <c r="AC261" s="55"/>
      <c r="AD261" s="55"/>
      <c r="AE261" s="34"/>
      <c r="AF261" s="34"/>
      <c r="AG261" s="55"/>
      <c r="AH261" s="55"/>
      <c r="AI261" s="55"/>
      <c r="AJ261" s="147"/>
      <c r="AK261" s="147"/>
      <c r="AL261" s="147"/>
      <c r="AM261" s="147"/>
      <c r="AN261" s="147"/>
      <c r="AO261" s="147"/>
      <c r="AP261" s="147"/>
      <c r="AQ261" s="147"/>
    </row>
    <row r="262" spans="1:43" s="1" customFormat="1" x14ac:dyDescent="0.2">
      <c r="A262" s="14">
        <f>IF(HMCalc&gt;=2,INDEX(SortArray,INDEX(Offset,Bids+2),2), NA())</f>
        <v>1517</v>
      </c>
      <c r="B262" s="6" t="str">
        <f>INDEX(SortArray,INDEX(Offset,Bids+2),4)</f>
        <v>UC Irvine</v>
      </c>
      <c r="C262" s="6"/>
      <c r="D262" s="11"/>
      <c r="E262" s="6"/>
      <c r="F262" s="6"/>
      <c r="G262" s="11"/>
      <c r="H262" s="146" t="str">
        <f>INDEX(SortArray,INDEX(Offset,Bids+2),5)&amp;" Wins (CS: "&amp;INDEX(SortArray,INDEX(Offset,Bids+2),7)&amp;", OCS: "&amp;INDEX(SortArray,INDEX(Offset,Bids+2),9)&amp;", PD: "&amp;INDEX(SortArray,INDEX(Offset,Bids+2),10)&amp;")"</f>
        <v>4.5 Wins (CS: 17, OCS: 63, PD: -10)</v>
      </c>
      <c r="I262" s="6"/>
      <c r="J262" s="11"/>
      <c r="K262" s="6"/>
      <c r="L262" s="6"/>
      <c r="M262" s="11"/>
      <c r="N262" s="6"/>
      <c r="O262" s="6"/>
      <c r="P262" s="139"/>
      <c r="Q262" s="7"/>
      <c r="R262" s="7"/>
      <c r="S262" s="7"/>
      <c r="T262" s="7"/>
      <c r="U262" s="137"/>
      <c r="V262" s="137"/>
      <c r="W262" s="137"/>
      <c r="X262" s="137"/>
      <c r="Y262" s="16"/>
      <c r="Z262" s="16" t="str">
        <f>IF(HMCalc&gt;=2,"Show","Hide")</f>
        <v>Show</v>
      </c>
      <c r="AB262" s="4"/>
      <c r="AC262" s="55"/>
      <c r="AD262" s="55"/>
      <c r="AE262" s="34"/>
      <c r="AF262" s="34"/>
      <c r="AG262" s="55"/>
      <c r="AH262" s="55"/>
      <c r="AI262" s="55"/>
      <c r="AJ262" s="147"/>
      <c r="AK262" s="147"/>
      <c r="AL262" s="147"/>
      <c r="AM262" s="147"/>
      <c r="AN262" s="147"/>
      <c r="AO262" s="147"/>
      <c r="AP262" s="147"/>
      <c r="AQ262" s="147"/>
    </row>
    <row r="263" spans="1:43" s="1" customFormat="1" x14ac:dyDescent="0.2">
      <c r="A263" s="14">
        <f>IF(HMCalc&gt;=3,INDEX(SortArray,INDEX(Offset,Bids+3),2), NA())</f>
        <v>1029</v>
      </c>
      <c r="B263" s="6" t="str">
        <f>INDEX(SortArray,INDEX(Offset,Bids+3),4)</f>
        <v>Cornell</v>
      </c>
      <c r="C263" s="6"/>
      <c r="D263" s="11"/>
      <c r="E263" s="6"/>
      <c r="F263" s="6"/>
      <c r="G263" s="11"/>
      <c r="H263" s="146" t="str">
        <f>INDEX(SortArray,INDEX(Offset,Bids+3),5)&amp;" Wins (CS: "&amp;INDEX(SortArray,INDEX(Offset,Bids+3),7)&amp;", OCS: "&amp;INDEX(SortArray,INDEX(Offset,Bids+3),9)&amp;", PD: "&amp;INDEX(SortArray,INDEX(Offset,Bids+3),10)&amp;")"</f>
        <v>4.5 Wins (CS: 16.5, OCS: 68, PD: 13)</v>
      </c>
      <c r="I263" s="6"/>
      <c r="J263" s="11"/>
      <c r="K263" s="6"/>
      <c r="L263" s="6"/>
      <c r="M263" s="11"/>
      <c r="N263" s="6"/>
      <c r="O263" s="6"/>
      <c r="P263" s="139"/>
      <c r="Q263" s="7"/>
      <c r="R263" s="7"/>
      <c r="S263" s="7"/>
      <c r="T263" s="7"/>
      <c r="U263" s="137"/>
      <c r="V263" s="137"/>
      <c r="W263" s="137"/>
      <c r="X263" s="137"/>
      <c r="Y263" s="16"/>
      <c r="Z263" s="16" t="str">
        <f>IF(HMCalc&gt;=3,"Show","Hide")</f>
        <v>Show</v>
      </c>
      <c r="AB263" s="4"/>
      <c r="AC263" s="55"/>
      <c r="AD263" s="55"/>
      <c r="AE263" s="34"/>
      <c r="AF263" s="34"/>
      <c r="AG263" s="55"/>
      <c r="AH263" s="55"/>
      <c r="AI263" s="55"/>
      <c r="AJ263" s="147"/>
      <c r="AK263" s="147"/>
      <c r="AL263" s="147"/>
      <c r="AM263" s="147"/>
      <c r="AN263" s="147"/>
      <c r="AO263" s="147"/>
      <c r="AP263" s="147"/>
      <c r="AQ263" s="147"/>
    </row>
    <row r="264" spans="1:43" s="1" customFormat="1" hidden="1" x14ac:dyDescent="0.2">
      <c r="A264" s="14" t="e">
        <f>IF(HMCalc&gt;=4,INDEX(SortArray,INDEX(Offset,Bids+4),2), NA())</f>
        <v>#N/A</v>
      </c>
      <c r="B264" s="6" t="str">
        <f>INDEX(SortArray,INDEX(Offset,Bids+4),4)</f>
        <v>Virginia</v>
      </c>
      <c r="C264" s="6"/>
      <c r="D264" s="11"/>
      <c r="E264" s="6"/>
      <c r="F264" s="6"/>
      <c r="G264" s="11"/>
      <c r="H264" s="146" t="str">
        <f>INDEX(SortArray,INDEX(Offset,Bids+4),5)&amp;" Wins (CS: "&amp;INDEX(SortArray,INDEX(Offset,Bids+4),7)&amp;", OCS: "&amp;INDEX(SortArray,INDEX(Offset,Bids+4),9)&amp;", PD: "&amp;INDEX(SortArray,INDEX(Offset,Bids+4),10)&amp;")"</f>
        <v>4 Wins (CS: 21, OCS: 64.5, PD: 2)</v>
      </c>
      <c r="I264" s="6"/>
      <c r="J264" s="11"/>
      <c r="K264" s="6"/>
      <c r="L264" s="6"/>
      <c r="M264" s="11"/>
      <c r="N264" s="6"/>
      <c r="O264" s="6"/>
      <c r="P264" s="139"/>
      <c r="Q264" s="7"/>
      <c r="R264" s="7"/>
      <c r="S264" s="7"/>
      <c r="T264" s="7"/>
      <c r="U264" s="137"/>
      <c r="V264" s="137"/>
      <c r="W264" s="137"/>
      <c r="X264" s="137"/>
      <c r="Y264" s="16"/>
      <c r="Z264" s="16" t="str">
        <f>IF(HMCalc&gt;=4,"Show","Hide")</f>
        <v>Hide</v>
      </c>
      <c r="AB264" s="4"/>
      <c r="AC264" s="55"/>
      <c r="AD264" s="55"/>
      <c r="AE264" s="34"/>
      <c r="AF264" s="34"/>
      <c r="AG264" s="55"/>
      <c r="AH264" s="55"/>
      <c r="AI264" s="55"/>
      <c r="AJ264" s="147"/>
      <c r="AK264" s="147"/>
      <c r="AL264" s="147"/>
      <c r="AM264" s="147"/>
      <c r="AN264" s="147"/>
      <c r="AO264" s="147"/>
      <c r="AP264" s="147"/>
      <c r="AQ264" s="147"/>
    </row>
    <row r="265" spans="1:43" s="1" customFormat="1" hidden="1" x14ac:dyDescent="0.2">
      <c r="A265" s="14" t="e">
        <f>IF(HMCalc&gt;=5,INDEX(SortArray,INDEX(Offset,Bids+5),2), NA())</f>
        <v>#N/A</v>
      </c>
      <c r="B265" s="6" t="str">
        <f>INDEX(SortArray,INDEX(Offset,Bids+5),4)</f>
        <v>Harvard</v>
      </c>
      <c r="C265" s="6"/>
      <c r="D265" s="11"/>
      <c r="E265" s="6"/>
      <c r="F265" s="6"/>
      <c r="G265" s="11"/>
      <c r="H265" s="146" t="str">
        <f>INDEX(SortArray,INDEX(Offset,Bids+5),5)&amp;" Wins (CS: "&amp;INDEX(SortArray,INDEX(Offset,Bids+5),7)&amp;", OCS: "&amp;INDEX(SortArray,INDEX(Offset,Bids+5),9)&amp;", PD: "&amp;INDEX(SortArray,INDEX(Offset,Bids+5),10)&amp;")"</f>
        <v>4 Wins (CS: 16.5, OCS: 62.5, PD: 7)</v>
      </c>
      <c r="I265" s="6"/>
      <c r="J265" s="11"/>
      <c r="K265" s="6"/>
      <c r="L265" s="6"/>
      <c r="M265" s="11"/>
      <c r="N265" s="6"/>
      <c r="O265" s="6"/>
      <c r="P265" s="139"/>
      <c r="Q265" s="7"/>
      <c r="R265" s="7"/>
      <c r="S265" s="7"/>
      <c r="T265" s="7"/>
      <c r="U265" s="137"/>
      <c r="V265" s="137"/>
      <c r="W265" s="137"/>
      <c r="X265" s="137"/>
      <c r="Y265" s="16"/>
      <c r="Z265" s="16" t="str">
        <f>IF(HMCalc&gt;=5,"Show","Hide")</f>
        <v>Hide</v>
      </c>
      <c r="AB265" s="4"/>
      <c r="AC265" s="55"/>
      <c r="AD265" s="55"/>
      <c r="AE265" s="34"/>
      <c r="AF265" s="34"/>
      <c r="AG265" s="55"/>
      <c r="AH265" s="55"/>
      <c r="AI265" s="55"/>
      <c r="AJ265" s="147"/>
      <c r="AK265" s="147"/>
      <c r="AL265" s="147"/>
      <c r="AM265" s="147"/>
      <c r="AN265" s="147"/>
      <c r="AO265" s="147"/>
      <c r="AP265" s="147"/>
      <c r="AQ265" s="147"/>
    </row>
    <row r="266" spans="1:43" s="1" customFormat="1" hidden="1" x14ac:dyDescent="0.2">
      <c r="A266" s="14" t="e">
        <f>IF(HMCalc&gt;=6,INDEX(SortArray,INDEX(Offset,Bids+6),2), NA())</f>
        <v>#N/A</v>
      </c>
      <c r="B266" s="6" t="str">
        <f>INDEX(SortArray,INDEX(Offset,Bids+6),4)</f>
        <v>UCLA</v>
      </c>
      <c r="C266" s="6"/>
      <c r="D266" s="11"/>
      <c r="E266" s="6"/>
      <c r="F266" s="6"/>
      <c r="G266" s="11"/>
      <c r="H266" s="146" t="str">
        <f>INDEX(SortArray,INDEX(Offset,Bids+6),5)&amp;" Wins (CS: "&amp;INDEX(SortArray,INDEX(Offset,Bids+6),7)&amp;", OCS: "&amp;INDEX(SortArray,INDEX(Offset,Bids+6),9)&amp;", PD: "&amp;INDEX(SortArray,INDEX(Offset,Bids+6),10)&amp;")"</f>
        <v>4 Wins (CS: 16.5, OCS: 60.5, PD: -20)</v>
      </c>
      <c r="I266" s="6"/>
      <c r="J266" s="11"/>
      <c r="K266" s="6"/>
      <c r="L266" s="6"/>
      <c r="M266" s="11"/>
      <c r="N266" s="6"/>
      <c r="O266" s="6"/>
      <c r="P266" s="139"/>
      <c r="Q266" s="7"/>
      <c r="R266" s="7"/>
      <c r="S266" s="7"/>
      <c r="T266" s="7"/>
      <c r="U266" s="137"/>
      <c r="V266" s="137"/>
      <c r="W266" s="137"/>
      <c r="X266" s="137"/>
      <c r="Y266" s="16"/>
      <c r="Z266" s="16" t="str">
        <f>IF(HMCalc&gt;=6,"Show","Hide")</f>
        <v>Hide</v>
      </c>
      <c r="AB266" s="4"/>
      <c r="AC266" s="55"/>
      <c r="AD266" s="55"/>
      <c r="AE266" s="34"/>
      <c r="AF266" s="34"/>
      <c r="AG266" s="55"/>
      <c r="AH266" s="55"/>
      <c r="AI266" s="55"/>
      <c r="AJ266" s="147"/>
      <c r="AK266" s="147"/>
      <c r="AL266" s="147"/>
      <c r="AM266" s="147"/>
      <c r="AN266" s="147"/>
      <c r="AO266" s="147"/>
      <c r="AP266" s="147"/>
      <c r="AQ266" s="147"/>
    </row>
    <row r="267" spans="1:43" s="1" customFormat="1" hidden="1" x14ac:dyDescent="0.2">
      <c r="A267" s="14" t="e">
        <f>IF(HMCalc&gt;=7,INDEX(SortArray,INDEX(Offset,Bids+7),2), NA())</f>
        <v>#N/A</v>
      </c>
      <c r="B267" s="6" t="str">
        <f>INDEX(SortArray,INDEX(Offset,Bids+7),4)</f>
        <v>Tufts</v>
      </c>
      <c r="C267" s="6"/>
      <c r="D267" s="11"/>
      <c r="E267" s="6"/>
      <c r="F267" s="6"/>
      <c r="G267" s="11"/>
      <c r="H267" s="146" t="str">
        <f>INDEX(SortArray,INDEX(Offset,Bids+7),5)&amp;" Wins (CS: "&amp;INDEX(SortArray,INDEX(Offset,Bids+7),7)&amp;", OCS: "&amp;INDEX(SortArray,INDEX(Offset,Bids+7),9)&amp;", PD: "&amp;INDEX(SortArray,INDEX(Offset,Bids+7),10)&amp;")"</f>
        <v>3.5 Wins (CS: 17.5, OCS: 69, PD: -3)</v>
      </c>
      <c r="I267" s="6"/>
      <c r="J267" s="11"/>
      <c r="K267" s="6"/>
      <c r="L267" s="6"/>
      <c r="M267" s="11"/>
      <c r="N267" s="6"/>
      <c r="O267" s="6"/>
      <c r="P267" s="139"/>
      <c r="Q267" s="7"/>
      <c r="R267" s="7"/>
      <c r="S267" s="7"/>
      <c r="T267" s="7"/>
      <c r="U267" s="137"/>
      <c r="V267" s="137"/>
      <c r="W267" s="137"/>
      <c r="X267" s="137"/>
      <c r="Y267" s="16"/>
      <c r="Z267" s="16" t="str">
        <f>IF(HMCalc&gt;=7,"Show","Hide")</f>
        <v>Hide</v>
      </c>
      <c r="AB267" s="4"/>
      <c r="AC267" s="55"/>
      <c r="AD267" s="55"/>
      <c r="AE267" s="34"/>
      <c r="AF267" s="34"/>
      <c r="AG267" s="55"/>
      <c r="AH267" s="55"/>
      <c r="AI267" s="55"/>
      <c r="AJ267" s="147"/>
      <c r="AK267" s="147"/>
      <c r="AL267" s="147"/>
      <c r="AM267" s="147"/>
      <c r="AN267" s="147"/>
      <c r="AO267" s="147"/>
      <c r="AP267" s="147"/>
      <c r="AQ267" s="147"/>
    </row>
    <row r="268" spans="1:43" s="1" customFormat="1" ht="29.1" customHeight="1" x14ac:dyDescent="0.2">
      <c r="A268" s="6"/>
      <c r="B268" s="6"/>
      <c r="C268" s="6"/>
      <c r="D268" s="11"/>
      <c r="E268" s="6"/>
      <c r="F268" s="6"/>
      <c r="G268" s="11"/>
      <c r="H268" s="6"/>
      <c r="I268" s="6"/>
      <c r="J268" s="11"/>
      <c r="K268" s="6"/>
      <c r="L268" s="6"/>
      <c r="M268" s="11"/>
      <c r="N268" s="6"/>
      <c r="O268" s="6"/>
      <c r="P268" s="139"/>
      <c r="Q268" s="7"/>
      <c r="R268" s="7"/>
      <c r="S268" s="7"/>
      <c r="T268" s="7"/>
      <c r="U268" s="137"/>
      <c r="V268" s="137"/>
      <c r="W268" s="137"/>
      <c r="X268" s="137"/>
      <c r="Y268" s="16"/>
      <c r="Z268" s="16" t="s">
        <v>38</v>
      </c>
      <c r="AB268" s="4"/>
      <c r="AC268" s="4"/>
      <c r="AD268" s="4"/>
      <c r="AE268" s="4"/>
      <c r="AF268" s="4"/>
      <c r="AG268" s="4"/>
      <c r="AH268" s="4"/>
      <c r="AI268" s="4"/>
      <c r="AJ268" s="4"/>
      <c r="AK268" s="4"/>
      <c r="AL268" s="4"/>
      <c r="AM268" s="4"/>
      <c r="AN268" s="4"/>
      <c r="AO268" s="4"/>
      <c r="AP268" s="4"/>
      <c r="AQ268" s="4"/>
    </row>
    <row r="269" spans="1:43" s="1" customFormat="1" ht="12.75" hidden="1" customHeight="1" x14ac:dyDescent="0.2">
      <c r="A269" s="145" t="s">
        <v>173</v>
      </c>
      <c r="B269" s="6"/>
      <c r="C269" s="6"/>
      <c r="D269" s="11"/>
      <c r="E269" s="6"/>
      <c r="F269" s="6"/>
      <c r="G269" s="11"/>
      <c r="H269" s="6"/>
      <c r="I269" s="6"/>
      <c r="J269" s="11"/>
      <c r="K269" s="6"/>
      <c r="L269" s="6"/>
      <c r="M269" s="11"/>
      <c r="N269" s="6"/>
      <c r="O269" s="6"/>
      <c r="P269" s="139"/>
      <c r="Q269" s="7"/>
      <c r="R269" s="7"/>
      <c r="S269" s="7"/>
      <c r="T269" s="7"/>
      <c r="U269" s="137"/>
      <c r="V269" s="137"/>
      <c r="W269" s="137"/>
      <c r="X269" s="137"/>
      <c r="Y269" s="16"/>
      <c r="Z269" s="16" t="str">
        <f>IF(SoAMTA1 &lt;&gt; "Team #", "Show", "Hide")</f>
        <v>Hide</v>
      </c>
      <c r="AB269" s="4"/>
      <c r="AC269" s="4"/>
      <c r="AD269" s="4"/>
      <c r="AE269" s="4"/>
      <c r="AF269" s="4"/>
      <c r="AG269" s="4"/>
      <c r="AH269" s="4"/>
      <c r="AI269" s="4"/>
      <c r="AJ269" s="4"/>
      <c r="AK269" s="4"/>
      <c r="AL269" s="4"/>
      <c r="AM269" s="4"/>
      <c r="AN269" s="4"/>
      <c r="AO269" s="4"/>
      <c r="AP269" s="4"/>
      <c r="AQ269" s="4"/>
    </row>
    <row r="270" spans="1:43" s="1" customFormat="1" hidden="1" x14ac:dyDescent="0.2">
      <c r="A270" s="54" t="s">
        <v>135</v>
      </c>
      <c r="B270" s="6"/>
      <c r="C270" s="6"/>
      <c r="D270" s="11"/>
      <c r="E270" s="6"/>
      <c r="F270" s="6"/>
      <c r="G270" s="11"/>
      <c r="H270" s="6"/>
      <c r="I270" s="6"/>
      <c r="J270" s="11"/>
      <c r="K270" s="6"/>
      <c r="L270" s="6"/>
      <c r="M270" s="11"/>
      <c r="N270" s="6"/>
      <c r="O270" s="6"/>
      <c r="P270" s="139"/>
      <c r="Q270" s="7"/>
      <c r="R270" s="7"/>
      <c r="S270" s="7"/>
      <c r="T270" s="7"/>
      <c r="U270" s="137"/>
      <c r="V270" s="137"/>
      <c r="W270" s="137"/>
      <c r="X270" s="137"/>
      <c r="Y270" s="16"/>
      <c r="Z270" s="16" t="str">
        <f>IF(SoAMTA1 &lt;&gt; "Team #", "Show", "Hide")</f>
        <v>Hide</v>
      </c>
      <c r="AA270" s="15" t="s">
        <v>85</v>
      </c>
      <c r="AB270" s="4"/>
      <c r="AC270" s="4"/>
      <c r="AD270" s="4"/>
      <c r="AE270" s="4"/>
      <c r="AF270" s="4"/>
      <c r="AG270" s="4"/>
      <c r="AH270" s="4"/>
      <c r="AI270" s="4"/>
      <c r="AJ270" s="4"/>
      <c r="AK270" s="4"/>
      <c r="AL270" s="4"/>
      <c r="AM270" s="4"/>
      <c r="AN270" s="4"/>
      <c r="AO270" s="4"/>
      <c r="AP270" s="4"/>
      <c r="AQ270" s="4"/>
    </row>
    <row r="271" spans="1:43" s="1" customFormat="1" hidden="1" x14ac:dyDescent="0.2">
      <c r="A271" s="285"/>
      <c r="B271" s="6"/>
      <c r="C271" s="122"/>
      <c r="D271" s="11"/>
      <c r="E271" s="6"/>
      <c r="F271" s="6"/>
      <c r="G271" s="11"/>
      <c r="H271" s="6"/>
      <c r="I271" s="6"/>
      <c r="J271" s="11"/>
      <c r="K271" s="6"/>
      <c r="L271" s="6"/>
      <c r="M271" s="11"/>
      <c r="N271" s="6"/>
      <c r="O271" s="6"/>
      <c r="P271" s="139"/>
      <c r="Q271" s="7"/>
      <c r="R271" s="7"/>
      <c r="S271" s="7"/>
      <c r="T271" s="7"/>
      <c r="U271" s="137"/>
      <c r="V271" s="137"/>
      <c r="W271" s="137"/>
      <c r="X271" s="137"/>
      <c r="Y271" s="16"/>
      <c r="Z271" s="16" t="str">
        <f>IF(SoAMTA1 &lt;&gt; "Team #", "Show", "Hide")</f>
        <v>Hide</v>
      </c>
      <c r="AA271" s="1" t="s">
        <v>257</v>
      </c>
      <c r="AB271" s="4"/>
      <c r="AC271" s="4"/>
      <c r="AD271" s="4"/>
      <c r="AE271" s="4"/>
      <c r="AF271" s="4"/>
      <c r="AG271" s="4"/>
      <c r="AH271" s="4"/>
      <c r="AI271" s="4"/>
      <c r="AJ271" s="4"/>
      <c r="AK271" s="4"/>
      <c r="AL271" s="4"/>
      <c r="AM271" s="4"/>
      <c r="AN271" s="4"/>
      <c r="AO271" s="4"/>
      <c r="AP271" s="4"/>
      <c r="AQ271" s="4"/>
    </row>
    <row r="272" spans="1:43" s="1" customFormat="1" hidden="1" x14ac:dyDescent="0.2">
      <c r="A272" s="257" t="s">
        <v>256</v>
      </c>
      <c r="B272" s="260" t="s">
        <v>60</v>
      </c>
      <c r="C272" s="24" t="e">
        <f>VLOOKUP(B272,TeamRecord,3,FALSE)</f>
        <v>#N/A</v>
      </c>
      <c r="D272" s="11"/>
      <c r="E272" s="122"/>
      <c r="F272" s="6"/>
      <c r="G272" s="11"/>
      <c r="H272" s="6"/>
      <c r="I272" s="6"/>
      <c r="J272" s="11"/>
      <c r="K272" s="6"/>
      <c r="L272" s="6"/>
      <c r="M272" s="11"/>
      <c r="N272" s="6"/>
      <c r="O272" s="6"/>
      <c r="P272" s="139"/>
      <c r="Q272" s="7"/>
      <c r="R272" s="7"/>
      <c r="S272" s="7"/>
      <c r="T272" s="7"/>
      <c r="U272" s="137"/>
      <c r="V272" s="137"/>
      <c r="W272" s="137"/>
      <c r="X272" s="137"/>
      <c r="Y272" s="16"/>
      <c r="Z272" s="16" t="str">
        <f>IF(SoAMTA1 &lt;&gt; "Team #", "Show", "Hide")</f>
        <v>Hide</v>
      </c>
      <c r="AA272" s="1" t="s">
        <v>258</v>
      </c>
      <c r="AB272" s="4"/>
      <c r="AC272" s="4"/>
      <c r="AD272" s="4"/>
      <c r="AE272" s="4"/>
      <c r="AF272" s="4"/>
      <c r="AG272" s="4"/>
      <c r="AH272" s="4"/>
      <c r="AI272" s="4"/>
      <c r="AJ272" s="4"/>
      <c r="AK272" s="4"/>
      <c r="AL272" s="4"/>
      <c r="AM272" s="4"/>
      <c r="AN272" s="4"/>
      <c r="AO272" s="4"/>
      <c r="AP272" s="4"/>
      <c r="AQ272" s="4"/>
    </row>
    <row r="273" spans="1:43" s="1" customFormat="1" hidden="1" x14ac:dyDescent="0.2">
      <c r="A273" s="257" t="s">
        <v>256</v>
      </c>
      <c r="B273" s="260" t="s">
        <v>60</v>
      </c>
      <c r="C273" s="24" t="e">
        <f>VLOOKUP(B273,TeamRecord,3,FALSE)</f>
        <v>#N/A</v>
      </c>
      <c r="D273" s="37"/>
      <c r="E273" s="122"/>
      <c r="F273" s="6"/>
      <c r="G273" s="11"/>
      <c r="H273" s="54" t="s">
        <v>73</v>
      </c>
      <c r="I273" s="6"/>
      <c r="J273" s="11"/>
      <c r="K273" s="6"/>
      <c r="L273" s="6"/>
      <c r="M273" s="11"/>
      <c r="N273" s="6"/>
      <c r="O273" s="6"/>
      <c r="P273" s="139"/>
      <c r="Q273" s="7"/>
      <c r="R273" s="7"/>
      <c r="S273" s="7"/>
      <c r="T273" s="7"/>
      <c r="U273" s="137"/>
      <c r="V273" s="137"/>
      <c r="W273" s="137"/>
      <c r="X273" s="137"/>
      <c r="Y273" s="16"/>
      <c r="Z273" s="16" t="str">
        <f>IF(SoAMTA2 &lt;&gt; "Team #", "Show", "Hide")</f>
        <v>Hide</v>
      </c>
      <c r="AA273" s="1" t="s">
        <v>259</v>
      </c>
      <c r="AB273" s="4"/>
      <c r="AC273" s="4"/>
      <c r="AD273" s="4"/>
      <c r="AE273" s="4"/>
      <c r="AF273" s="4"/>
      <c r="AG273" s="4"/>
      <c r="AH273" s="4"/>
      <c r="AI273" s="4"/>
      <c r="AJ273" s="4"/>
      <c r="AK273" s="4"/>
      <c r="AL273" s="4"/>
      <c r="AM273" s="4"/>
      <c r="AN273" s="4"/>
      <c r="AO273" s="4"/>
      <c r="AP273" s="4"/>
      <c r="AQ273" s="4"/>
    </row>
    <row r="274" spans="1:43" s="1" customFormat="1" x14ac:dyDescent="0.2">
      <c r="A274" s="257"/>
      <c r="B274" s="260"/>
      <c r="C274" s="24"/>
      <c r="D274" s="37"/>
      <c r="E274" s="122"/>
      <c r="F274" s="6"/>
      <c r="G274" s="11"/>
      <c r="H274" s="146"/>
      <c r="I274" s="6"/>
      <c r="J274" s="11"/>
      <c r="K274" s="6"/>
      <c r="L274" s="6"/>
      <c r="M274" s="6"/>
      <c r="N274" s="6"/>
      <c r="O274" s="6"/>
      <c r="P274" s="139"/>
      <c r="Q274" s="7"/>
      <c r="R274" s="7"/>
      <c r="S274" s="7"/>
      <c r="T274" s="7"/>
      <c r="U274" s="137"/>
      <c r="V274" s="137"/>
      <c r="W274" s="137"/>
      <c r="X274" s="137"/>
      <c r="Y274" s="16"/>
      <c r="Z274" s="16" t="str">
        <f>IF(SoAMTA3 &lt;&gt;"Team #", "Show", "Hide")</f>
        <v>Show</v>
      </c>
      <c r="AB274" s="4"/>
      <c r="AC274" s="4"/>
      <c r="AD274" s="4"/>
      <c r="AE274" s="4"/>
      <c r="AF274" s="4"/>
      <c r="AG274" s="4"/>
      <c r="AH274" s="4"/>
      <c r="AI274" s="4"/>
      <c r="AJ274" s="4"/>
      <c r="AK274" s="4"/>
      <c r="AL274" s="4"/>
      <c r="AM274" s="4"/>
      <c r="AN274" s="4"/>
      <c r="AO274" s="4"/>
      <c r="AP274" s="4"/>
      <c r="AQ274" s="4"/>
    </row>
    <row r="275" spans="1:43" s="1" customFormat="1" hidden="1" x14ac:dyDescent="0.2">
      <c r="A275" s="6"/>
      <c r="B275" s="14"/>
      <c r="C275" s="24"/>
      <c r="D275" s="37"/>
      <c r="E275" s="6"/>
      <c r="F275" s="6"/>
      <c r="G275" s="11"/>
      <c r="H275" s="146"/>
      <c r="I275" s="6"/>
      <c r="J275" s="11"/>
      <c r="K275" s="6"/>
      <c r="L275" s="6"/>
      <c r="M275" s="6"/>
      <c r="N275" s="6"/>
      <c r="O275" s="6"/>
      <c r="P275" s="139"/>
      <c r="Q275" s="7"/>
      <c r="R275" s="7"/>
      <c r="S275" s="7"/>
      <c r="T275" s="7"/>
      <c r="U275" s="137"/>
      <c r="V275" s="137"/>
      <c r="W275" s="137"/>
      <c r="X275" s="137"/>
      <c r="Y275" s="16"/>
      <c r="Z275" s="259" t="s">
        <v>241</v>
      </c>
      <c r="AB275" s="4"/>
      <c r="AC275" s="4"/>
      <c r="AD275" s="4"/>
      <c r="AE275" s="4"/>
      <c r="AF275" s="4"/>
      <c r="AG275" s="4"/>
      <c r="AH275" s="4"/>
      <c r="AI275" s="4"/>
      <c r="AJ275" s="4"/>
      <c r="AK275" s="4"/>
      <c r="AL275" s="4"/>
      <c r="AM275" s="4"/>
      <c r="AN275" s="4"/>
      <c r="AO275" s="4"/>
      <c r="AP275" s="4"/>
      <c r="AQ275" s="4"/>
    </row>
    <row r="276" spans="1:43" s="1" customFormat="1" hidden="1" x14ac:dyDescent="0.2">
      <c r="A276" s="453" t="s">
        <v>249</v>
      </c>
      <c r="B276" s="453"/>
      <c r="C276" s="453"/>
      <c r="D276" s="453"/>
      <c r="E276" s="453"/>
      <c r="F276" s="453"/>
      <c r="G276" s="453"/>
      <c r="H276" s="453"/>
      <c r="I276" s="453"/>
      <c r="J276" s="453"/>
      <c r="K276" s="453"/>
      <c r="L276" s="453"/>
      <c r="M276" s="453"/>
      <c r="N276" s="453"/>
      <c r="O276" s="453"/>
      <c r="P276" s="453"/>
      <c r="Q276" s="453"/>
      <c r="R276" s="453"/>
      <c r="S276" s="453"/>
      <c r="T276" s="453"/>
      <c r="U276" s="137"/>
      <c r="V276" s="137"/>
      <c r="W276" s="137"/>
      <c r="X276" s="137"/>
      <c r="Y276" s="16"/>
      <c r="Z276" s="259" t="s">
        <v>241</v>
      </c>
      <c r="AB276" s="4"/>
      <c r="AC276" s="4"/>
      <c r="AD276" s="4"/>
      <c r="AE276" s="4"/>
      <c r="AF276" s="4"/>
      <c r="AG276" s="4"/>
      <c r="AH276" s="4"/>
      <c r="AI276" s="4"/>
      <c r="AJ276" s="4"/>
      <c r="AK276" s="4"/>
      <c r="AL276" s="4"/>
      <c r="AM276" s="4"/>
      <c r="AN276" s="4"/>
      <c r="AO276" s="4"/>
      <c r="AP276" s="4"/>
      <c r="AQ276" s="4"/>
    </row>
    <row r="277" spans="1:43" s="151" customFormat="1" hidden="1" x14ac:dyDescent="0.2">
      <c r="A277" s="24"/>
      <c r="B277" s="24"/>
      <c r="C277" s="24"/>
      <c r="D277" s="263"/>
      <c r="E277" s="24"/>
      <c r="F277" s="24"/>
      <c r="G277" s="225"/>
      <c r="H277" s="286"/>
      <c r="I277" s="24"/>
      <c r="J277" s="225"/>
      <c r="K277" s="24"/>
      <c r="L277" s="24"/>
      <c r="M277" s="225"/>
      <c r="N277" s="24"/>
      <c r="O277" s="24"/>
      <c r="P277" s="226"/>
      <c r="Q277" s="227"/>
      <c r="R277" s="227"/>
      <c r="S277" s="227"/>
      <c r="T277" s="227"/>
      <c r="U277" s="212"/>
      <c r="V277" s="212"/>
      <c r="W277" s="212"/>
      <c r="X277" s="212"/>
      <c r="Y277" s="171"/>
      <c r="Z277" s="171" t="str">
        <f>IF(SoAMTA1 &lt;&gt; "Team #", "Show", "Hide")</f>
        <v>Hide</v>
      </c>
      <c r="AB277" s="158"/>
      <c r="AC277" s="158"/>
      <c r="AD277" s="158"/>
      <c r="AE277" s="158"/>
      <c r="AF277" s="158"/>
      <c r="AG277" s="158"/>
      <c r="AH277" s="158"/>
      <c r="AI277" s="158"/>
      <c r="AJ277" s="158"/>
      <c r="AK277" s="158"/>
      <c r="AL277" s="158"/>
      <c r="AM277" s="158"/>
      <c r="AN277" s="158"/>
      <c r="AO277" s="158"/>
      <c r="AP277" s="158"/>
      <c r="AQ277" s="158"/>
    </row>
    <row r="278" spans="1:43" s="151" customFormat="1" x14ac:dyDescent="0.2">
      <c r="A278" s="59" t="s">
        <v>43</v>
      </c>
      <c r="B278" s="24"/>
      <c r="C278" s="24"/>
      <c r="D278" s="225"/>
      <c r="E278" s="24"/>
      <c r="F278" s="24"/>
      <c r="G278" s="225"/>
      <c r="H278" s="24"/>
      <c r="I278" s="24"/>
      <c r="J278" s="225"/>
      <c r="K278" s="24"/>
      <c r="L278" s="24"/>
      <c r="M278" s="225"/>
      <c r="N278" s="24"/>
      <c r="O278" s="24"/>
      <c r="P278" s="226"/>
      <c r="Q278" s="227"/>
      <c r="R278" s="227"/>
      <c r="S278" s="227"/>
      <c r="T278" s="227"/>
      <c r="U278" s="212"/>
      <c r="V278" s="212"/>
      <c r="W278" s="212"/>
      <c r="X278" s="212"/>
      <c r="Y278" s="171"/>
      <c r="Z278" s="171" t="s">
        <v>38</v>
      </c>
      <c r="AB278" s="158"/>
      <c r="AC278" s="158"/>
      <c r="AD278" s="158"/>
      <c r="AE278" s="158"/>
      <c r="AF278" s="158"/>
      <c r="AG278" s="158"/>
      <c r="AH278" s="158"/>
      <c r="AI278" s="158"/>
      <c r="AJ278" s="158"/>
      <c r="AK278" s="158"/>
      <c r="AL278" s="158"/>
      <c r="AM278" s="158"/>
      <c r="AN278" s="158"/>
      <c r="AO278" s="158"/>
      <c r="AP278" s="158"/>
      <c r="AQ278" s="158"/>
    </row>
    <row r="279" spans="1:43" s="151" customFormat="1" x14ac:dyDescent="0.2">
      <c r="A279" s="59" t="s">
        <v>58</v>
      </c>
      <c r="B279" s="349"/>
      <c r="C279" s="59" t="s">
        <v>9</v>
      </c>
      <c r="D279" s="24"/>
      <c r="E279" s="24"/>
      <c r="F279" s="24"/>
      <c r="G279" s="24"/>
      <c r="H279" s="450" t="s">
        <v>60</v>
      </c>
      <c r="I279" s="450"/>
      <c r="J279" s="59" t="s">
        <v>7</v>
      </c>
      <c r="K279" s="24"/>
      <c r="L279" s="24"/>
      <c r="M279" s="225"/>
      <c r="N279" s="24"/>
      <c r="O279" s="24"/>
      <c r="P279" s="226"/>
      <c r="Q279" s="227"/>
      <c r="R279" s="227"/>
      <c r="S279" s="227"/>
      <c r="T279" s="227"/>
      <c r="U279" s="212"/>
      <c r="V279" s="212"/>
      <c r="W279" s="212"/>
      <c r="X279" s="212"/>
      <c r="Y279" s="171"/>
      <c r="Z279" s="171" t="s">
        <v>38</v>
      </c>
      <c r="AB279" s="158"/>
      <c r="AC279" s="158"/>
      <c r="AD279" s="158"/>
      <c r="AE279" s="158"/>
      <c r="AF279" s="158"/>
      <c r="AG279" s="158"/>
      <c r="AH279" s="158"/>
      <c r="AI279" s="158"/>
      <c r="AJ279" s="158"/>
      <c r="AK279" s="158"/>
      <c r="AL279" s="158"/>
      <c r="AM279" s="158"/>
      <c r="AN279" s="158"/>
      <c r="AO279" s="158"/>
      <c r="AP279" s="158"/>
      <c r="AQ279" s="158"/>
    </row>
    <row r="280" spans="1:43" s="151" customFormat="1" x14ac:dyDescent="0.2">
      <c r="A280" s="159" t="str">
        <f>'Individual Awards'!T67</f>
        <v>∏0/∆0</v>
      </c>
      <c r="B280" s="356"/>
      <c r="C280" s="158" t="str">
        <f>'Individual Awards'!V67</f>
        <v>Mashell Rahimzadeh</v>
      </c>
      <c r="D280" s="262"/>
      <c r="E280" s="262"/>
      <c r="F280" s="262"/>
      <c r="G280" s="262"/>
      <c r="H280" s="416">
        <f>'Individual Awards'!U67</f>
        <v>1268</v>
      </c>
      <c r="I280" s="416"/>
      <c r="J280" s="334" t="str">
        <f t="shared" ref="J280:J299" si="71">VLOOKUP(H280,TeamRecord,3,FALSE)</f>
        <v>Columbia</v>
      </c>
      <c r="K280" s="334"/>
      <c r="L280" s="334"/>
      <c r="M280" s="334"/>
      <c r="N280" s="334"/>
      <c r="O280" s="334"/>
      <c r="P280" s="334"/>
      <c r="Q280" s="334"/>
      <c r="R280" s="334"/>
      <c r="S280" s="334"/>
      <c r="T280" s="334"/>
      <c r="U280" s="212"/>
      <c r="V280" s="212"/>
      <c r="W280" s="212"/>
      <c r="X280" s="212"/>
      <c r="Y280" s="171"/>
      <c r="Z280" s="171" t="str">
        <f>'Individual Awards'!W67</f>
        <v>Show</v>
      </c>
      <c r="AA280" s="154" t="s">
        <v>209</v>
      </c>
      <c r="AB280" s="158"/>
      <c r="AC280" s="158"/>
      <c r="AD280" s="158"/>
      <c r="AE280" s="158"/>
      <c r="AF280" s="158"/>
      <c r="AG280" s="158"/>
      <c r="AH280" s="158"/>
      <c r="AI280" s="158"/>
      <c r="AJ280" s="158"/>
      <c r="AK280" s="158"/>
      <c r="AL280" s="158"/>
      <c r="AM280" s="158"/>
      <c r="AN280" s="158"/>
      <c r="AO280" s="158"/>
      <c r="AP280" s="158"/>
      <c r="AQ280" s="158"/>
    </row>
    <row r="281" spans="1:43" s="151" customFormat="1" x14ac:dyDescent="0.2">
      <c r="A281" s="159" t="str">
        <f>'Individual Awards'!T68</f>
        <v>∏0/∆0</v>
      </c>
      <c r="B281" s="356"/>
      <c r="C281" s="158" t="str">
        <f>'Individual Awards'!V68</f>
        <v>Adam Chase</v>
      </c>
      <c r="D281" s="262"/>
      <c r="E281" s="262"/>
      <c r="F281" s="262"/>
      <c r="G281" s="262"/>
      <c r="H281" s="416">
        <f>'Individual Awards'!U68</f>
        <v>1557</v>
      </c>
      <c r="I281" s="416"/>
      <c r="J281" s="334" t="str">
        <f t="shared" si="71"/>
        <v>Harvard</v>
      </c>
      <c r="K281" s="334"/>
      <c r="L281" s="334"/>
      <c r="M281" s="334"/>
      <c r="N281" s="334"/>
      <c r="O281" s="334"/>
      <c r="P281" s="334"/>
      <c r="Q281" s="334"/>
      <c r="R281" s="334"/>
      <c r="S281" s="334"/>
      <c r="T281" s="334"/>
      <c r="U281" s="212"/>
      <c r="V281" s="212"/>
      <c r="W281" s="212"/>
      <c r="X281" s="212"/>
      <c r="Y281" s="171"/>
      <c r="Z281" s="171" t="str">
        <f>'Individual Awards'!W68</f>
        <v>Show</v>
      </c>
      <c r="AA281" s="151" t="s">
        <v>210</v>
      </c>
      <c r="AB281" s="158"/>
      <c r="AC281" s="158"/>
      <c r="AD281" s="158"/>
      <c r="AE281" s="158"/>
      <c r="AF281" s="158"/>
      <c r="AG281" s="158"/>
      <c r="AH281" s="158"/>
      <c r="AI281" s="158"/>
      <c r="AJ281" s="158"/>
      <c r="AK281" s="158"/>
      <c r="AL281" s="158"/>
      <c r="AM281" s="158"/>
      <c r="AN281" s="158"/>
      <c r="AO281" s="158"/>
      <c r="AP281" s="158"/>
      <c r="AQ281" s="158"/>
    </row>
    <row r="282" spans="1:43" s="151" customFormat="1" x14ac:dyDescent="0.2">
      <c r="A282" s="159" t="str">
        <f>'Individual Awards'!T69</f>
        <v>∏0/∆0</v>
      </c>
      <c r="B282" s="356"/>
      <c r="C282" s="158" t="str">
        <f>'Individual Awards'!V69</f>
        <v>Gurbir Sinah</v>
      </c>
      <c r="D282" s="262"/>
      <c r="E282" s="262"/>
      <c r="F282" s="262"/>
      <c r="G282" s="262"/>
      <c r="H282" s="416">
        <f>'Individual Awards'!U69</f>
        <v>1258</v>
      </c>
      <c r="I282" s="416"/>
      <c r="J282" s="334" t="str">
        <f t="shared" si="71"/>
        <v>UC Berkeley</v>
      </c>
      <c r="K282" s="334"/>
      <c r="L282" s="334"/>
      <c r="M282" s="334"/>
      <c r="N282" s="334"/>
      <c r="O282" s="334"/>
      <c r="P282" s="334"/>
      <c r="Q282" s="334"/>
      <c r="R282" s="334"/>
      <c r="S282" s="334"/>
      <c r="T282" s="334"/>
      <c r="U282" s="212"/>
      <c r="V282" s="212"/>
      <c r="W282" s="212"/>
      <c r="X282" s="212"/>
      <c r="Y282" s="171"/>
      <c r="Z282" s="171" t="str">
        <f>'Individual Awards'!W69</f>
        <v>Show</v>
      </c>
      <c r="AA282" s="151" t="s">
        <v>211</v>
      </c>
      <c r="AB282" s="158"/>
      <c r="AC282" s="158"/>
      <c r="AD282" s="158"/>
      <c r="AE282" s="158"/>
      <c r="AF282" s="158"/>
      <c r="AG282" s="158"/>
      <c r="AH282" s="158"/>
      <c r="AI282" s="158"/>
      <c r="AJ282" s="158"/>
      <c r="AK282" s="158"/>
      <c r="AL282" s="158"/>
      <c r="AM282" s="158"/>
      <c r="AN282" s="158"/>
      <c r="AO282" s="158"/>
      <c r="AP282" s="158"/>
      <c r="AQ282" s="158"/>
    </row>
    <row r="283" spans="1:43" s="151" customFormat="1" x14ac:dyDescent="0.2">
      <c r="A283" s="159" t="str">
        <f>'Individual Awards'!T70</f>
        <v>∏0/∆0</v>
      </c>
      <c r="B283" s="356"/>
      <c r="C283" s="158" t="str">
        <f>'Individual Awards'!V70</f>
        <v>Kai Nugent</v>
      </c>
      <c r="D283" s="262"/>
      <c r="E283" s="262"/>
      <c r="F283" s="262"/>
      <c r="G283" s="262"/>
      <c r="H283" s="416">
        <f>'Individual Awards'!U70</f>
        <v>1577</v>
      </c>
      <c r="I283" s="416"/>
      <c r="J283" s="334" t="str">
        <f t="shared" si="71"/>
        <v>Yale</v>
      </c>
      <c r="K283" s="334"/>
      <c r="L283" s="334"/>
      <c r="M283" s="334"/>
      <c r="N283" s="334"/>
      <c r="O283" s="334"/>
      <c r="P283" s="334"/>
      <c r="Q283" s="334"/>
      <c r="R283" s="334"/>
      <c r="S283" s="334"/>
      <c r="T283" s="334"/>
      <c r="U283" s="212"/>
      <c r="V283" s="212"/>
      <c r="W283" s="212"/>
      <c r="X283" s="212"/>
      <c r="Y283" s="171"/>
      <c r="Z283" s="171" t="str">
        <f>'Individual Awards'!W70</f>
        <v>Show</v>
      </c>
      <c r="AA283" s="151" t="s">
        <v>212</v>
      </c>
      <c r="AB283" s="158"/>
      <c r="AC283" s="158"/>
      <c r="AD283" s="158"/>
      <c r="AE283" s="158"/>
      <c r="AF283" s="158"/>
      <c r="AG283" s="158"/>
      <c r="AH283" s="158"/>
      <c r="AI283" s="158"/>
      <c r="AJ283" s="158"/>
      <c r="AK283" s="158"/>
      <c r="AL283" s="158"/>
      <c r="AM283" s="158"/>
      <c r="AN283" s="158"/>
      <c r="AO283" s="158"/>
      <c r="AP283" s="158"/>
      <c r="AQ283" s="158"/>
    </row>
    <row r="284" spans="1:43" s="151" customFormat="1" x14ac:dyDescent="0.2">
      <c r="A284" s="159" t="str">
        <f>'Individual Awards'!T71</f>
        <v>∏0/∆0</v>
      </c>
      <c r="B284" s="356"/>
      <c r="C284" s="158" t="str">
        <f>'Individual Awards'!V71</f>
        <v>Gabriel Marquez</v>
      </c>
      <c r="D284" s="262"/>
      <c r="E284" s="262"/>
      <c r="F284" s="262"/>
      <c r="G284" s="262"/>
      <c r="H284" s="416">
        <f>'Individual Awards'!U71</f>
        <v>1492</v>
      </c>
      <c r="I284" s="416"/>
      <c r="J284" s="334" t="str">
        <f t="shared" si="71"/>
        <v>UCLA</v>
      </c>
      <c r="K284" s="334"/>
      <c r="L284" s="334"/>
      <c r="M284" s="334"/>
      <c r="N284" s="334"/>
      <c r="O284" s="334"/>
      <c r="P284" s="334"/>
      <c r="Q284" s="334"/>
      <c r="R284" s="334"/>
      <c r="S284" s="334"/>
      <c r="T284" s="334"/>
      <c r="U284" s="212"/>
      <c r="V284" s="212"/>
      <c r="W284" s="212"/>
      <c r="X284" s="212"/>
      <c r="Y284" s="171"/>
      <c r="Z284" s="171" t="str">
        <f>'Individual Awards'!W71</f>
        <v>Show</v>
      </c>
      <c r="AB284" s="158"/>
      <c r="AC284" s="158"/>
      <c r="AD284" s="158"/>
      <c r="AE284" s="158"/>
      <c r="AF284" s="158"/>
      <c r="AG284" s="158"/>
      <c r="AH284" s="158"/>
      <c r="AI284" s="158"/>
      <c r="AJ284" s="158"/>
      <c r="AK284" s="158"/>
      <c r="AL284" s="158"/>
      <c r="AM284" s="158"/>
      <c r="AN284" s="158"/>
      <c r="AO284" s="158"/>
      <c r="AP284" s="158"/>
      <c r="AQ284" s="158"/>
    </row>
    <row r="285" spans="1:43" s="151" customFormat="1" x14ac:dyDescent="0.2">
      <c r="A285" s="159" t="str">
        <f>'Individual Awards'!T72</f>
        <v>∏0/∆0</v>
      </c>
      <c r="B285" s="356"/>
      <c r="C285" s="158" t="str">
        <f>'Individual Awards'!V72</f>
        <v>Karli Zubek</v>
      </c>
      <c r="D285" s="262"/>
      <c r="E285" s="262"/>
      <c r="F285" s="262"/>
      <c r="G285" s="262"/>
      <c r="H285" s="416">
        <f>'Individual Awards'!U72</f>
        <v>1217</v>
      </c>
      <c r="I285" s="416"/>
      <c r="J285" s="334" t="str">
        <f t="shared" si="71"/>
        <v>Northwood</v>
      </c>
      <c r="K285" s="334"/>
      <c r="L285" s="334"/>
      <c r="M285" s="334"/>
      <c r="N285" s="334"/>
      <c r="O285" s="334"/>
      <c r="P285" s="334"/>
      <c r="Q285" s="334"/>
      <c r="R285" s="334"/>
      <c r="S285" s="334"/>
      <c r="T285" s="334"/>
      <c r="U285" s="212"/>
      <c r="V285" s="212"/>
      <c r="W285" s="212"/>
      <c r="X285" s="212"/>
      <c r="Y285" s="171"/>
      <c r="Z285" s="171" t="str">
        <f>'Individual Awards'!W72</f>
        <v>Show</v>
      </c>
      <c r="AB285" s="158"/>
      <c r="AC285" s="158"/>
      <c r="AD285" s="158"/>
      <c r="AE285" s="158"/>
      <c r="AF285" s="158"/>
      <c r="AG285" s="158"/>
      <c r="AH285" s="158"/>
      <c r="AI285" s="158"/>
      <c r="AJ285" s="158"/>
      <c r="AK285" s="158"/>
      <c r="AL285" s="158"/>
      <c r="AM285" s="158"/>
      <c r="AN285" s="158"/>
      <c r="AO285" s="158"/>
      <c r="AP285" s="158"/>
      <c r="AQ285" s="158"/>
    </row>
    <row r="286" spans="1:43" s="151" customFormat="1" x14ac:dyDescent="0.2">
      <c r="A286" s="159" t="str">
        <f>'Individual Awards'!T73</f>
        <v>∏0/∆0</v>
      </c>
      <c r="B286" s="356"/>
      <c r="C286" s="158" t="str">
        <f>'Individual Awards'!V73</f>
        <v>Natalia Heguaburo</v>
      </c>
      <c r="D286" s="262"/>
      <c r="E286" s="262"/>
      <c r="F286" s="262"/>
      <c r="G286" s="262"/>
      <c r="H286" s="416">
        <f>'Individual Awards'!U73</f>
        <v>1001</v>
      </c>
      <c r="I286" s="416"/>
      <c r="J286" s="334" t="str">
        <f t="shared" si="71"/>
        <v>Virginia</v>
      </c>
      <c r="K286" s="334"/>
      <c r="L286" s="334"/>
      <c r="M286" s="334"/>
      <c r="N286" s="334"/>
      <c r="O286" s="334"/>
      <c r="P286" s="334"/>
      <c r="Q286" s="334"/>
      <c r="R286" s="334"/>
      <c r="S286" s="334"/>
      <c r="T286" s="334"/>
      <c r="U286" s="212"/>
      <c r="V286" s="212"/>
      <c r="W286" s="212"/>
      <c r="X286" s="212"/>
      <c r="Y286" s="171"/>
      <c r="Z286" s="171" t="str">
        <f>'Individual Awards'!W73</f>
        <v>Show</v>
      </c>
      <c r="AB286" s="158"/>
      <c r="AC286" s="158"/>
      <c r="AD286" s="158"/>
      <c r="AE286" s="158"/>
      <c r="AF286" s="158"/>
      <c r="AG286" s="158"/>
      <c r="AH286" s="158"/>
      <c r="AI286" s="158"/>
      <c r="AJ286" s="158"/>
      <c r="AK286" s="158"/>
      <c r="AL286" s="158"/>
      <c r="AM286" s="158"/>
      <c r="AN286" s="158"/>
      <c r="AO286" s="158"/>
      <c r="AP286" s="158"/>
      <c r="AQ286" s="158"/>
    </row>
    <row r="287" spans="1:43" s="151" customFormat="1" x14ac:dyDescent="0.2">
      <c r="A287" s="159" t="str">
        <f>'Individual Awards'!T74</f>
        <v>∏0/∆0</v>
      </c>
      <c r="B287" s="356"/>
      <c r="C287" s="158" t="str">
        <f>'Individual Awards'!V74</f>
        <v>Simeon Lawrence</v>
      </c>
      <c r="D287" s="262"/>
      <c r="E287" s="262"/>
      <c r="F287" s="262"/>
      <c r="G287" s="262"/>
      <c r="H287" s="416">
        <f>'Individual Awards'!U74</f>
        <v>1217</v>
      </c>
      <c r="I287" s="416"/>
      <c r="J287" s="334" t="str">
        <f t="shared" si="71"/>
        <v>Northwood</v>
      </c>
      <c r="K287" s="334"/>
      <c r="L287" s="334"/>
      <c r="M287" s="334"/>
      <c r="N287" s="334"/>
      <c r="O287" s="334"/>
      <c r="P287" s="334"/>
      <c r="Q287" s="334"/>
      <c r="R287" s="334"/>
      <c r="S287" s="334"/>
      <c r="T287" s="334"/>
      <c r="U287" s="212"/>
      <c r="V287" s="212"/>
      <c r="W287" s="212"/>
      <c r="X287" s="212"/>
      <c r="Y287" s="171"/>
      <c r="Z287" s="171" t="str">
        <f>'Individual Awards'!W74</f>
        <v>Show</v>
      </c>
      <c r="AB287" s="158"/>
      <c r="AC287" s="158"/>
      <c r="AD287" s="158"/>
      <c r="AE287" s="158"/>
      <c r="AF287" s="158"/>
      <c r="AG287" s="158"/>
      <c r="AH287" s="158"/>
      <c r="AI287" s="158"/>
      <c r="AJ287" s="158"/>
      <c r="AK287" s="158"/>
      <c r="AL287" s="158"/>
      <c r="AM287" s="158"/>
      <c r="AN287" s="158"/>
      <c r="AO287" s="158"/>
      <c r="AP287" s="158"/>
      <c r="AQ287" s="158"/>
    </row>
    <row r="288" spans="1:43" s="151" customFormat="1" x14ac:dyDescent="0.2">
      <c r="A288" s="159" t="str">
        <f>'Individual Awards'!T75</f>
        <v>∏0/∆0</v>
      </c>
      <c r="B288" s="356"/>
      <c r="C288" s="158" t="str">
        <f>'Individual Awards'!V75</f>
        <v>Peter Bound</v>
      </c>
      <c r="D288" s="262"/>
      <c r="E288" s="262"/>
      <c r="F288" s="262"/>
      <c r="G288" s="262"/>
      <c r="H288" s="416">
        <f>'Individual Awards'!U75</f>
        <v>1616</v>
      </c>
      <c r="I288" s="416"/>
      <c r="J288" s="334" t="str">
        <f t="shared" si="71"/>
        <v>Chicago</v>
      </c>
      <c r="K288" s="334"/>
      <c r="L288" s="334"/>
      <c r="M288" s="334"/>
      <c r="N288" s="334"/>
      <c r="O288" s="334"/>
      <c r="P288" s="334"/>
      <c r="Q288" s="334"/>
      <c r="R288" s="334"/>
      <c r="S288" s="334"/>
      <c r="T288" s="334"/>
      <c r="U288" s="212"/>
      <c r="V288" s="212"/>
      <c r="W288" s="212"/>
      <c r="X288" s="212"/>
      <c r="Y288" s="171"/>
      <c r="Z288" s="171" t="str">
        <f>'Individual Awards'!W75</f>
        <v>Show</v>
      </c>
      <c r="AB288" s="158"/>
      <c r="AC288" s="158"/>
      <c r="AD288" s="158"/>
      <c r="AE288" s="158"/>
      <c r="AF288" s="158"/>
      <c r="AG288" s="158"/>
      <c r="AH288" s="158"/>
      <c r="AI288" s="158"/>
      <c r="AJ288" s="158"/>
      <c r="AK288" s="158"/>
      <c r="AL288" s="158"/>
      <c r="AM288" s="158"/>
      <c r="AN288" s="158"/>
      <c r="AO288" s="158"/>
      <c r="AP288" s="158"/>
      <c r="AQ288" s="158"/>
    </row>
    <row r="289" spans="1:43" s="151" customFormat="1" x14ac:dyDescent="0.2">
      <c r="A289" s="159" t="str">
        <f>'Individual Awards'!T76</f>
        <v>∏0/∆0</v>
      </c>
      <c r="B289" s="356"/>
      <c r="C289" s="158" t="str">
        <f>'Individual Awards'!V76</f>
        <v>Brooke Bowerman</v>
      </c>
      <c r="D289" s="262"/>
      <c r="E289" s="262"/>
      <c r="F289" s="262"/>
      <c r="G289" s="262"/>
      <c r="H289" s="416">
        <f>'Individual Awards'!U76</f>
        <v>1410</v>
      </c>
      <c r="I289" s="416"/>
      <c r="J289" s="334" t="str">
        <f t="shared" si="71"/>
        <v>Ohio State</v>
      </c>
      <c r="K289" s="334"/>
      <c r="L289" s="334"/>
      <c r="M289" s="334"/>
      <c r="N289" s="334"/>
      <c r="O289" s="334"/>
      <c r="P289" s="334"/>
      <c r="Q289" s="334"/>
      <c r="R289" s="334"/>
      <c r="S289" s="334"/>
      <c r="T289" s="334"/>
      <c r="U289" s="212"/>
      <c r="V289" s="212"/>
      <c r="W289" s="212"/>
      <c r="X289" s="212"/>
      <c r="Y289" s="171"/>
      <c r="Z289" s="171" t="str">
        <f>'Individual Awards'!W76</f>
        <v>Show</v>
      </c>
      <c r="AB289" s="158"/>
      <c r="AC289" s="158"/>
      <c r="AD289" s="158"/>
      <c r="AE289" s="158"/>
      <c r="AF289" s="158"/>
      <c r="AG289" s="158"/>
      <c r="AH289" s="158"/>
      <c r="AI289" s="158"/>
      <c r="AJ289" s="158"/>
      <c r="AK289" s="158"/>
      <c r="AL289" s="158"/>
      <c r="AM289" s="158"/>
      <c r="AN289" s="158"/>
      <c r="AO289" s="158"/>
      <c r="AP289" s="158"/>
      <c r="AQ289" s="158"/>
    </row>
    <row r="290" spans="1:43" s="151" customFormat="1" x14ac:dyDescent="0.2">
      <c r="A290" s="159" t="str">
        <f>'Individual Awards'!T77</f>
        <v>∏0/∆0</v>
      </c>
      <c r="B290" s="356"/>
      <c r="C290" s="158" t="str">
        <f>'Individual Awards'!V77</f>
        <v>Papa Yaw Senchery</v>
      </c>
      <c r="D290" s="262"/>
      <c r="E290" s="262"/>
      <c r="F290" s="262"/>
      <c r="G290" s="262"/>
      <c r="H290" s="416">
        <f>'Individual Awards'!U77</f>
        <v>1506</v>
      </c>
      <c r="I290" s="416"/>
      <c r="J290" s="334" t="str">
        <f t="shared" si="71"/>
        <v>New York</v>
      </c>
      <c r="K290" s="334"/>
      <c r="L290" s="334"/>
      <c r="M290" s="334"/>
      <c r="N290" s="334"/>
      <c r="O290" s="334"/>
      <c r="P290" s="334"/>
      <c r="Q290" s="334"/>
      <c r="R290" s="334"/>
      <c r="S290" s="334"/>
      <c r="T290" s="334"/>
      <c r="U290" s="212"/>
      <c r="V290" s="212"/>
      <c r="W290" s="212"/>
      <c r="X290" s="212"/>
      <c r="Y290" s="171"/>
      <c r="Z290" s="171" t="str">
        <f>'Individual Awards'!W77</f>
        <v>Show</v>
      </c>
      <c r="AB290" s="158"/>
      <c r="AC290" s="158"/>
      <c r="AD290" s="158"/>
      <c r="AE290" s="158"/>
      <c r="AF290" s="158"/>
      <c r="AG290" s="158"/>
      <c r="AH290" s="158"/>
      <c r="AI290" s="158"/>
      <c r="AJ290" s="158"/>
      <c r="AK290" s="158"/>
      <c r="AL290" s="158"/>
      <c r="AM290" s="158"/>
      <c r="AN290" s="158"/>
      <c r="AO290" s="158"/>
      <c r="AP290" s="158"/>
      <c r="AQ290" s="158"/>
    </row>
    <row r="291" spans="1:43" s="151" customFormat="1" x14ac:dyDescent="0.2">
      <c r="A291" s="159" t="str">
        <f>'Individual Awards'!T78</f>
        <v>∆/∏</v>
      </c>
      <c r="B291" s="356"/>
      <c r="C291" s="158">
        <f>'Individual Awards'!V78</f>
        <v>0</v>
      </c>
      <c r="D291" s="262"/>
      <c r="E291" s="262"/>
      <c r="F291" s="262"/>
      <c r="G291" s="262"/>
      <c r="H291" s="416">
        <f>'Individual Awards'!U78</f>
        <v>0</v>
      </c>
      <c r="I291" s="416"/>
      <c r="J291" s="334">
        <f t="shared" si="71"/>
        <v>0</v>
      </c>
      <c r="K291" s="334"/>
      <c r="L291" s="334"/>
      <c r="M291" s="334"/>
      <c r="N291" s="334"/>
      <c r="O291" s="334"/>
      <c r="P291" s="334"/>
      <c r="Q291" s="334"/>
      <c r="R291" s="334"/>
      <c r="S291" s="334"/>
      <c r="T291" s="334"/>
      <c r="U291" s="212"/>
      <c r="V291" s="212"/>
      <c r="W291" s="212"/>
      <c r="X291" s="212"/>
      <c r="Y291" s="171"/>
      <c r="Z291" s="171" t="str">
        <f>'Individual Awards'!W78</f>
        <v>Show</v>
      </c>
      <c r="AB291" s="158"/>
      <c r="AC291" s="158"/>
      <c r="AD291" s="158"/>
      <c r="AE291" s="158"/>
      <c r="AF291" s="158"/>
      <c r="AG291" s="158"/>
      <c r="AH291" s="158"/>
      <c r="AI291" s="158"/>
      <c r="AJ291" s="158"/>
      <c r="AK291" s="158"/>
      <c r="AL291" s="158"/>
      <c r="AM291" s="158"/>
      <c r="AN291" s="158"/>
      <c r="AO291" s="158"/>
      <c r="AP291" s="158"/>
      <c r="AQ291" s="158"/>
    </row>
    <row r="292" spans="1:43" s="151" customFormat="1" x14ac:dyDescent="0.2">
      <c r="A292" s="159" t="str">
        <f>'Individual Awards'!T79</f>
        <v>∆/∏</v>
      </c>
      <c r="B292" s="356"/>
      <c r="C292" s="158">
        <f>'Individual Awards'!V79</f>
        <v>0</v>
      </c>
      <c r="D292" s="262"/>
      <c r="E292" s="262"/>
      <c r="F292" s="262"/>
      <c r="G292" s="262"/>
      <c r="H292" s="416">
        <f>'Individual Awards'!U79</f>
        <v>0</v>
      </c>
      <c r="I292" s="416"/>
      <c r="J292" s="334">
        <f t="shared" si="71"/>
        <v>0</v>
      </c>
      <c r="K292" s="334"/>
      <c r="L292" s="334"/>
      <c r="M292" s="334"/>
      <c r="N292" s="334"/>
      <c r="O292" s="334"/>
      <c r="P292" s="334"/>
      <c r="Q292" s="334"/>
      <c r="R292" s="334"/>
      <c r="S292" s="334"/>
      <c r="T292" s="334"/>
      <c r="U292" s="212"/>
      <c r="V292" s="212"/>
      <c r="W292" s="212"/>
      <c r="X292" s="212"/>
      <c r="Y292" s="171"/>
      <c r="Z292" s="171" t="str">
        <f>'Individual Awards'!W79</f>
        <v>Show</v>
      </c>
      <c r="AB292" s="158"/>
      <c r="AC292" s="158"/>
      <c r="AD292" s="158"/>
      <c r="AE292" s="158"/>
      <c r="AF292" s="158"/>
      <c r="AG292" s="158"/>
      <c r="AH292" s="158"/>
      <c r="AI292" s="158"/>
      <c r="AJ292" s="158"/>
      <c r="AK292" s="158"/>
      <c r="AL292" s="158"/>
      <c r="AM292" s="158"/>
      <c r="AN292" s="158"/>
      <c r="AO292" s="158"/>
      <c r="AP292" s="158"/>
      <c r="AQ292" s="158"/>
    </row>
    <row r="293" spans="1:43" s="151" customFormat="1" x14ac:dyDescent="0.2">
      <c r="A293" s="159" t="str">
        <f>'Individual Awards'!T80</f>
        <v>∆/∏</v>
      </c>
      <c r="B293" s="356"/>
      <c r="C293" s="158">
        <f>'Individual Awards'!V80</f>
        <v>0</v>
      </c>
      <c r="D293" s="262"/>
      <c r="E293" s="262"/>
      <c r="F293" s="262"/>
      <c r="G293" s="262"/>
      <c r="H293" s="416">
        <f>'Individual Awards'!U80</f>
        <v>0</v>
      </c>
      <c r="I293" s="416"/>
      <c r="J293" s="334">
        <f t="shared" si="71"/>
        <v>0</v>
      </c>
      <c r="K293" s="334"/>
      <c r="L293" s="334"/>
      <c r="M293" s="334"/>
      <c r="N293" s="334"/>
      <c r="O293" s="334"/>
      <c r="P293" s="334"/>
      <c r="Q293" s="334"/>
      <c r="R293" s="334"/>
      <c r="S293" s="334"/>
      <c r="T293" s="334"/>
      <c r="U293" s="212"/>
      <c r="V293" s="212"/>
      <c r="W293" s="212"/>
      <c r="X293" s="212"/>
      <c r="Y293" s="171"/>
      <c r="Z293" s="171" t="str">
        <f>'Individual Awards'!W80</f>
        <v>Show</v>
      </c>
      <c r="AB293" s="158"/>
      <c r="AC293" s="158"/>
      <c r="AD293" s="158"/>
      <c r="AE293" s="158"/>
      <c r="AF293" s="158"/>
      <c r="AG293" s="158"/>
      <c r="AH293" s="158"/>
      <c r="AI293" s="158"/>
      <c r="AJ293" s="158"/>
      <c r="AK293" s="158"/>
      <c r="AL293" s="158"/>
      <c r="AM293" s="158"/>
      <c r="AN293" s="158"/>
      <c r="AO293" s="158"/>
      <c r="AP293" s="158"/>
      <c r="AQ293" s="158"/>
    </row>
    <row r="294" spans="1:43" s="151" customFormat="1" x14ac:dyDescent="0.2">
      <c r="A294" s="159" t="str">
        <f>'Individual Awards'!T81</f>
        <v>∆/∏</v>
      </c>
      <c r="B294" s="356"/>
      <c r="C294" s="158">
        <f>'Individual Awards'!V81</f>
        <v>0</v>
      </c>
      <c r="D294" s="262"/>
      <c r="E294" s="262"/>
      <c r="F294" s="262"/>
      <c r="G294" s="262"/>
      <c r="H294" s="416">
        <f>'Individual Awards'!U81</f>
        <v>0</v>
      </c>
      <c r="I294" s="416"/>
      <c r="J294" s="334">
        <f t="shared" si="71"/>
        <v>0</v>
      </c>
      <c r="K294" s="334"/>
      <c r="L294" s="334"/>
      <c r="M294" s="334"/>
      <c r="N294" s="334"/>
      <c r="O294" s="334"/>
      <c r="P294" s="334"/>
      <c r="Q294" s="334"/>
      <c r="R294" s="334"/>
      <c r="S294" s="334"/>
      <c r="T294" s="334"/>
      <c r="U294" s="212"/>
      <c r="V294" s="212"/>
      <c r="W294" s="212"/>
      <c r="X294" s="212"/>
      <c r="Y294" s="171"/>
      <c r="Z294" s="171" t="str">
        <f>'Individual Awards'!W81</f>
        <v>Show</v>
      </c>
      <c r="AB294" s="158"/>
      <c r="AC294" s="158"/>
      <c r="AD294" s="158"/>
      <c r="AE294" s="158"/>
      <c r="AF294" s="158"/>
      <c r="AG294" s="158"/>
      <c r="AH294" s="158"/>
      <c r="AI294" s="158"/>
      <c r="AJ294" s="158"/>
      <c r="AK294" s="158"/>
      <c r="AL294" s="158"/>
      <c r="AM294" s="158"/>
      <c r="AN294" s="158"/>
      <c r="AO294" s="158"/>
      <c r="AP294" s="158"/>
      <c r="AQ294" s="158"/>
    </row>
    <row r="295" spans="1:43" s="151" customFormat="1" x14ac:dyDescent="0.2">
      <c r="A295" s="159" t="str">
        <f>'Individual Awards'!T82</f>
        <v>∆/∏</v>
      </c>
      <c r="B295" s="356"/>
      <c r="C295" s="158">
        <f>'Individual Awards'!V82</f>
        <v>0</v>
      </c>
      <c r="D295" s="262"/>
      <c r="E295" s="262"/>
      <c r="F295" s="262"/>
      <c r="G295" s="262"/>
      <c r="H295" s="416">
        <f>'Individual Awards'!U82</f>
        <v>0</v>
      </c>
      <c r="I295" s="416"/>
      <c r="J295" s="334">
        <f t="shared" si="71"/>
        <v>0</v>
      </c>
      <c r="K295" s="334"/>
      <c r="L295" s="334"/>
      <c r="M295" s="334"/>
      <c r="N295" s="334"/>
      <c r="O295" s="334"/>
      <c r="P295" s="334"/>
      <c r="Q295" s="334"/>
      <c r="R295" s="334"/>
      <c r="S295" s="334"/>
      <c r="T295" s="334"/>
      <c r="U295" s="212"/>
      <c r="V295" s="212"/>
      <c r="W295" s="212"/>
      <c r="X295" s="212"/>
      <c r="Y295" s="171"/>
      <c r="Z295" s="171" t="str">
        <f>'Individual Awards'!W82</f>
        <v>Show</v>
      </c>
      <c r="AB295" s="158"/>
      <c r="AC295" s="158"/>
      <c r="AD295" s="158"/>
      <c r="AE295" s="158"/>
      <c r="AF295" s="158"/>
      <c r="AG295" s="158"/>
      <c r="AH295" s="158"/>
      <c r="AI295" s="158"/>
      <c r="AJ295" s="158"/>
      <c r="AK295" s="158"/>
      <c r="AL295" s="158"/>
      <c r="AM295" s="158"/>
      <c r="AN295" s="158"/>
      <c r="AO295" s="158"/>
      <c r="AP295" s="158"/>
      <c r="AQ295" s="158"/>
    </row>
    <row r="296" spans="1:43" s="151" customFormat="1" x14ac:dyDescent="0.2">
      <c r="A296" s="159" t="str">
        <f>'Individual Awards'!T83</f>
        <v>∆/∏</v>
      </c>
      <c r="B296" s="356"/>
      <c r="C296" s="158">
        <f>'Individual Awards'!V83</f>
        <v>0</v>
      </c>
      <c r="D296" s="262"/>
      <c r="E296" s="262"/>
      <c r="F296" s="262"/>
      <c r="G296" s="262"/>
      <c r="H296" s="416">
        <f>'Individual Awards'!U83</f>
        <v>0</v>
      </c>
      <c r="I296" s="416"/>
      <c r="J296" s="334">
        <f t="shared" si="71"/>
        <v>0</v>
      </c>
      <c r="K296" s="334"/>
      <c r="L296" s="334"/>
      <c r="M296" s="334"/>
      <c r="N296" s="334"/>
      <c r="O296" s="334"/>
      <c r="P296" s="334"/>
      <c r="Q296" s="334"/>
      <c r="R296" s="334"/>
      <c r="S296" s="334"/>
      <c r="T296" s="334"/>
      <c r="U296" s="212"/>
      <c r="V296" s="212"/>
      <c r="W296" s="212"/>
      <c r="X296" s="212"/>
      <c r="Y296" s="171"/>
      <c r="Z296" s="171" t="str">
        <f>'Individual Awards'!W83</f>
        <v>Show</v>
      </c>
      <c r="AB296" s="158"/>
      <c r="AC296" s="158"/>
      <c r="AD296" s="158"/>
      <c r="AE296" s="158"/>
      <c r="AF296" s="158"/>
      <c r="AG296" s="158"/>
      <c r="AH296" s="158"/>
      <c r="AI296" s="158"/>
      <c r="AJ296" s="158"/>
      <c r="AK296" s="158"/>
      <c r="AL296" s="158"/>
      <c r="AM296" s="158"/>
      <c r="AN296" s="158"/>
      <c r="AO296" s="158"/>
      <c r="AP296" s="158"/>
      <c r="AQ296" s="158"/>
    </row>
    <row r="297" spans="1:43" s="151" customFormat="1" x14ac:dyDescent="0.2">
      <c r="A297" s="159" t="str">
        <f>'Individual Awards'!T84</f>
        <v>∆/∏</v>
      </c>
      <c r="B297" s="356"/>
      <c r="C297" s="158">
        <f>'Individual Awards'!V84</f>
        <v>0</v>
      </c>
      <c r="D297" s="262"/>
      <c r="E297" s="262"/>
      <c r="F297" s="262"/>
      <c r="G297" s="262"/>
      <c r="H297" s="416">
        <f>'Individual Awards'!U84</f>
        <v>0</v>
      </c>
      <c r="I297" s="416"/>
      <c r="J297" s="334">
        <f t="shared" si="71"/>
        <v>0</v>
      </c>
      <c r="K297" s="334"/>
      <c r="L297" s="334"/>
      <c r="M297" s="334"/>
      <c r="N297" s="334"/>
      <c r="O297" s="334"/>
      <c r="P297" s="334"/>
      <c r="Q297" s="334"/>
      <c r="R297" s="334"/>
      <c r="S297" s="334"/>
      <c r="T297" s="334"/>
      <c r="U297" s="212"/>
      <c r="V297" s="212"/>
      <c r="W297" s="212"/>
      <c r="X297" s="212"/>
      <c r="Y297" s="171"/>
      <c r="Z297" s="171" t="str">
        <f>'Individual Awards'!W84</f>
        <v>Show</v>
      </c>
      <c r="AB297" s="158"/>
      <c r="AC297" s="158"/>
      <c r="AD297" s="158"/>
      <c r="AE297" s="158"/>
      <c r="AF297" s="158"/>
      <c r="AG297" s="158"/>
      <c r="AH297" s="158"/>
      <c r="AI297" s="158"/>
      <c r="AJ297" s="158"/>
      <c r="AK297" s="158"/>
      <c r="AL297" s="158"/>
      <c r="AM297" s="158"/>
      <c r="AN297" s="158"/>
      <c r="AO297" s="158"/>
      <c r="AP297" s="158"/>
      <c r="AQ297" s="158"/>
    </row>
    <row r="298" spans="1:43" s="151" customFormat="1" x14ac:dyDescent="0.2">
      <c r="A298" s="159" t="str">
        <f>'Individual Awards'!T85</f>
        <v>∆/∏</v>
      </c>
      <c r="B298" s="356"/>
      <c r="C298" s="158">
        <f>'Individual Awards'!V85</f>
        <v>0</v>
      </c>
      <c r="D298" s="262"/>
      <c r="E298" s="262"/>
      <c r="F298" s="262"/>
      <c r="G298" s="262"/>
      <c r="H298" s="416">
        <f>'Individual Awards'!U85</f>
        <v>0</v>
      </c>
      <c r="I298" s="416"/>
      <c r="J298" s="334">
        <f t="shared" si="71"/>
        <v>0</v>
      </c>
      <c r="K298" s="334"/>
      <c r="L298" s="334"/>
      <c r="M298" s="334"/>
      <c r="N298" s="334"/>
      <c r="O298" s="334"/>
      <c r="P298" s="334"/>
      <c r="Q298" s="334"/>
      <c r="R298" s="334"/>
      <c r="S298" s="334"/>
      <c r="T298" s="334"/>
      <c r="U298" s="212"/>
      <c r="V298" s="212"/>
      <c r="W298" s="212"/>
      <c r="X298" s="212"/>
      <c r="Y298" s="171"/>
      <c r="Z298" s="171" t="str">
        <f>'Individual Awards'!W85</f>
        <v>Show</v>
      </c>
      <c r="AB298" s="158"/>
      <c r="AC298" s="158"/>
      <c r="AD298" s="158"/>
      <c r="AE298" s="158"/>
      <c r="AF298" s="158"/>
      <c r="AG298" s="158"/>
      <c r="AH298" s="158"/>
      <c r="AI298" s="158"/>
      <c r="AJ298" s="158"/>
      <c r="AK298" s="158"/>
      <c r="AL298" s="158"/>
      <c r="AM298" s="158"/>
      <c r="AN298" s="158"/>
      <c r="AO298" s="158"/>
      <c r="AP298" s="158"/>
      <c r="AQ298" s="158"/>
    </row>
    <row r="299" spans="1:43" s="151" customFormat="1" x14ac:dyDescent="0.2">
      <c r="A299" s="159" t="str">
        <f>'Individual Awards'!T86</f>
        <v>∆/∏</v>
      </c>
      <c r="B299" s="356"/>
      <c r="C299" s="158">
        <f>'Individual Awards'!V86</f>
        <v>0</v>
      </c>
      <c r="D299" s="262"/>
      <c r="E299" s="262"/>
      <c r="F299" s="262"/>
      <c r="G299" s="262"/>
      <c r="H299" s="416">
        <f>'Individual Awards'!U86</f>
        <v>0</v>
      </c>
      <c r="I299" s="416"/>
      <c r="J299" s="334">
        <f t="shared" si="71"/>
        <v>0</v>
      </c>
      <c r="K299" s="334"/>
      <c r="L299" s="334"/>
      <c r="M299" s="334"/>
      <c r="N299" s="334"/>
      <c r="O299" s="334"/>
      <c r="P299" s="334"/>
      <c r="Q299" s="334"/>
      <c r="R299" s="334"/>
      <c r="S299" s="334"/>
      <c r="T299" s="334"/>
      <c r="U299" s="212"/>
      <c r="V299" s="212"/>
      <c r="W299" s="212"/>
      <c r="X299" s="212"/>
      <c r="Y299" s="171"/>
      <c r="Z299" s="171" t="str">
        <f>'Individual Awards'!W86</f>
        <v>Show</v>
      </c>
      <c r="AB299" s="158"/>
      <c r="AC299" s="158"/>
      <c r="AD299" s="158"/>
      <c r="AE299" s="158"/>
      <c r="AF299" s="158"/>
      <c r="AG299" s="158"/>
      <c r="AH299" s="158"/>
      <c r="AI299" s="158"/>
      <c r="AJ299" s="158"/>
      <c r="AK299" s="158"/>
      <c r="AL299" s="158"/>
      <c r="AM299" s="158"/>
      <c r="AN299" s="158"/>
      <c r="AO299" s="158"/>
      <c r="AP299" s="158"/>
      <c r="AQ299" s="158"/>
    </row>
    <row r="300" spans="1:43" s="151" customFormat="1" x14ac:dyDescent="0.2">
      <c r="A300" s="24"/>
      <c r="B300" s="66"/>
      <c r="C300" s="24"/>
      <c r="D300" s="225"/>
      <c r="E300" s="24"/>
      <c r="F300" s="24"/>
      <c r="G300" s="225"/>
      <c r="H300" s="24"/>
      <c r="I300" s="24"/>
      <c r="J300" s="225"/>
      <c r="K300" s="24"/>
      <c r="L300" s="24"/>
      <c r="M300" s="225"/>
      <c r="N300" s="24"/>
      <c r="O300" s="24"/>
      <c r="P300" s="226"/>
      <c r="Q300" s="227"/>
      <c r="R300" s="227"/>
      <c r="S300" s="227"/>
      <c r="T300" s="227"/>
      <c r="U300" s="212"/>
      <c r="V300" s="212"/>
      <c r="W300" s="212"/>
      <c r="X300" s="212"/>
      <c r="Y300" s="171"/>
      <c r="Z300" s="171" t="str">
        <f>IF(B300 &lt;50,"Show","Hide")</f>
        <v>Show</v>
      </c>
      <c r="AB300" s="158"/>
      <c r="AC300" s="100"/>
      <c r="AD300" s="100"/>
      <c r="AE300" s="228"/>
      <c r="AF300" s="228"/>
      <c r="AG300" s="100"/>
      <c r="AH300" s="100"/>
      <c r="AI300" s="100"/>
      <c r="AJ300" s="159"/>
      <c r="AK300" s="159"/>
      <c r="AL300" s="159"/>
      <c r="AM300" s="159"/>
      <c r="AN300" s="159"/>
      <c r="AO300" s="159"/>
      <c r="AP300" s="159"/>
      <c r="AQ300" s="159"/>
    </row>
    <row r="301" spans="1:43" s="151" customFormat="1" x14ac:dyDescent="0.2">
      <c r="A301" s="59" t="s">
        <v>44</v>
      </c>
      <c r="B301" s="24"/>
      <c r="C301" s="24"/>
      <c r="D301" s="225"/>
      <c r="E301" s="24"/>
      <c r="F301" s="24"/>
      <c r="G301" s="225"/>
      <c r="H301" s="24"/>
      <c r="I301" s="24"/>
      <c r="J301" s="225"/>
      <c r="K301" s="59"/>
      <c r="L301" s="24"/>
      <c r="M301" s="225"/>
      <c r="N301" s="24"/>
      <c r="O301" s="24"/>
      <c r="P301" s="226"/>
      <c r="Q301" s="227"/>
      <c r="R301" s="227"/>
      <c r="S301" s="227"/>
      <c r="T301" s="227"/>
      <c r="U301" s="212"/>
      <c r="V301" s="212"/>
      <c r="W301" s="212"/>
      <c r="X301" s="212"/>
      <c r="Y301" s="171"/>
      <c r="Z301" s="171" t="s">
        <v>38</v>
      </c>
      <c r="AA301" s="151" t="s">
        <v>213</v>
      </c>
      <c r="AB301" s="158"/>
      <c r="AC301" s="100"/>
      <c r="AD301" s="100"/>
      <c r="AE301" s="228"/>
      <c r="AF301" s="228"/>
      <c r="AG301" s="100"/>
      <c r="AH301" s="100"/>
      <c r="AI301" s="100"/>
      <c r="AJ301" s="159"/>
      <c r="AK301" s="159"/>
      <c r="AL301" s="159"/>
      <c r="AM301" s="159"/>
      <c r="AN301" s="159"/>
      <c r="AO301" s="159"/>
      <c r="AP301" s="159"/>
      <c r="AQ301" s="159"/>
    </row>
    <row r="302" spans="1:43" s="151" customFormat="1" x14ac:dyDescent="0.2">
      <c r="A302" s="59" t="s">
        <v>58</v>
      </c>
      <c r="B302" s="349"/>
      <c r="C302" s="59" t="s">
        <v>9</v>
      </c>
      <c r="D302" s="24"/>
      <c r="E302" s="24"/>
      <c r="F302" s="24"/>
      <c r="G302" s="24"/>
      <c r="H302" s="450" t="s">
        <v>60</v>
      </c>
      <c r="I302" s="450"/>
      <c r="J302" s="59" t="s">
        <v>7</v>
      </c>
      <c r="K302" s="59"/>
      <c r="L302" s="24"/>
      <c r="M302" s="225"/>
      <c r="N302" s="24"/>
      <c r="O302" s="24"/>
      <c r="P302" s="226"/>
      <c r="Q302" s="227"/>
      <c r="R302" s="227"/>
      <c r="S302" s="227"/>
      <c r="T302" s="227"/>
      <c r="U302" s="212"/>
      <c r="V302" s="212"/>
      <c r="W302" s="212"/>
      <c r="X302" s="212"/>
      <c r="Y302" s="171"/>
      <c r="Z302" s="171" t="s">
        <v>38</v>
      </c>
      <c r="AB302" s="158"/>
      <c r="AC302" s="100"/>
      <c r="AD302" s="100"/>
      <c r="AE302" s="228"/>
      <c r="AF302" s="228"/>
      <c r="AG302" s="100"/>
      <c r="AH302" s="100"/>
      <c r="AI302" s="100"/>
      <c r="AJ302" s="159"/>
      <c r="AK302" s="159"/>
      <c r="AL302" s="159"/>
      <c r="AM302" s="159"/>
      <c r="AN302" s="159"/>
      <c r="AO302" s="159"/>
      <c r="AP302" s="159"/>
      <c r="AQ302" s="159"/>
    </row>
    <row r="303" spans="1:43" s="151" customFormat="1" ht="13.5" thickBot="1" x14ac:dyDescent="0.25">
      <c r="A303" s="159" t="str">
        <f>'Individual Awards'!F67</f>
        <v>∏0/∆0</v>
      </c>
      <c r="B303" s="356"/>
      <c r="C303" s="158" t="str">
        <f>'Individual Awards'!H67</f>
        <v>Kate Hayes Slattery</v>
      </c>
      <c r="D303" s="66"/>
      <c r="E303" s="66"/>
      <c r="F303" s="66"/>
      <c r="G303" s="66"/>
      <c r="H303" s="416">
        <f>'Individual Awards'!G67</f>
        <v>1693</v>
      </c>
      <c r="I303" s="416"/>
      <c r="J303" s="334" t="str">
        <f t="shared" ref="J303:J321" si="72">VLOOKUP(H303,TeamRecord,3,FALSE)</f>
        <v>Northwestern</v>
      </c>
      <c r="K303" s="292"/>
      <c r="L303" s="229"/>
      <c r="M303" s="225"/>
      <c r="N303" s="24"/>
      <c r="O303" s="24"/>
      <c r="P303" s="226"/>
      <c r="Q303" s="227"/>
      <c r="R303" s="227"/>
      <c r="S303" s="227"/>
      <c r="T303" s="227"/>
      <c r="U303" s="212"/>
      <c r="V303" s="212"/>
      <c r="W303" s="212"/>
      <c r="X303" s="212"/>
      <c r="Y303" s="171"/>
      <c r="Z303" s="171" t="str">
        <f>'Individual Awards'!I67</f>
        <v>Show</v>
      </c>
      <c r="AB303" s="158"/>
      <c r="AC303" s="100"/>
      <c r="AD303" s="100"/>
      <c r="AE303" s="228"/>
      <c r="AF303" s="228"/>
      <c r="AG303" s="100"/>
      <c r="AH303" s="100"/>
      <c r="AI303" s="100"/>
      <c r="AJ303" s="159"/>
      <c r="AK303" s="159"/>
      <c r="AL303" s="159"/>
      <c r="AM303" s="159"/>
      <c r="AN303" s="159"/>
      <c r="AO303" s="159"/>
      <c r="AP303" s="159"/>
      <c r="AQ303" s="159"/>
    </row>
    <row r="304" spans="1:43" s="151" customFormat="1" ht="13.5" thickBot="1" x14ac:dyDescent="0.25">
      <c r="A304" s="159" t="str">
        <f>'Individual Awards'!F68</f>
        <v>∏0/∆0</v>
      </c>
      <c r="B304" s="356"/>
      <c r="C304" s="158" t="str">
        <f>'Individual Awards'!H68</f>
        <v>Sam Cross</v>
      </c>
      <c r="D304" s="66"/>
      <c r="E304" s="66"/>
      <c r="F304" s="66"/>
      <c r="G304" s="66"/>
      <c r="H304" s="416">
        <f>'Individual Awards'!G68</f>
        <v>1577</v>
      </c>
      <c r="I304" s="416"/>
      <c r="J304" s="334" t="str">
        <f t="shared" si="72"/>
        <v>Yale</v>
      </c>
      <c r="K304" s="292"/>
      <c r="L304" s="229"/>
      <c r="M304" s="225"/>
      <c r="N304" s="24"/>
      <c r="O304" s="24"/>
      <c r="P304" s="226"/>
      <c r="Q304" s="227"/>
      <c r="R304" s="227"/>
      <c r="S304" s="227"/>
      <c r="T304" s="227"/>
      <c r="U304" s="212"/>
      <c r="V304" s="212"/>
      <c r="W304" s="212"/>
      <c r="X304" s="212"/>
      <c r="Y304" s="171"/>
      <c r="Z304" s="171" t="str">
        <f>'Individual Awards'!I68</f>
        <v>Show</v>
      </c>
      <c r="AB304" s="158"/>
      <c r="AC304" s="100"/>
      <c r="AD304" s="100"/>
      <c r="AE304" s="228"/>
      <c r="AF304" s="228"/>
      <c r="AG304" s="100"/>
      <c r="AH304" s="100"/>
      <c r="AI304" s="100"/>
      <c r="AJ304" s="159"/>
      <c r="AK304" s="159"/>
      <c r="AL304" s="159"/>
      <c r="AM304" s="159"/>
      <c r="AN304" s="159"/>
      <c r="AO304" s="159"/>
      <c r="AP304" s="159"/>
      <c r="AQ304" s="159"/>
    </row>
    <row r="305" spans="1:43" s="151" customFormat="1" ht="13.5" thickBot="1" x14ac:dyDescent="0.25">
      <c r="A305" s="159" t="str">
        <f>'Individual Awards'!F69</f>
        <v>∏0/∆0</v>
      </c>
      <c r="B305" s="356"/>
      <c r="C305" s="158" t="str">
        <f>'Individual Awards'!H69</f>
        <v>Claudia Isaac</v>
      </c>
      <c r="D305" s="66"/>
      <c r="E305" s="66"/>
      <c r="F305" s="66"/>
      <c r="G305" s="66"/>
      <c r="H305" s="416">
        <f>'Individual Awards'!G69</f>
        <v>1506</v>
      </c>
      <c r="I305" s="416"/>
      <c r="J305" s="334" t="str">
        <f t="shared" si="72"/>
        <v>New York</v>
      </c>
      <c r="K305" s="292"/>
      <c r="L305" s="229"/>
      <c r="M305" s="225"/>
      <c r="N305" s="24"/>
      <c r="O305" s="24"/>
      <c r="P305" s="226"/>
      <c r="Q305" s="227"/>
      <c r="R305" s="227"/>
      <c r="S305" s="227"/>
      <c r="T305" s="227"/>
      <c r="U305" s="212"/>
      <c r="V305" s="212"/>
      <c r="W305" s="212"/>
      <c r="X305" s="212"/>
      <c r="Y305" s="171"/>
      <c r="Z305" s="171" t="str">
        <f>'Individual Awards'!I69</f>
        <v>Show</v>
      </c>
      <c r="AA305" s="154" t="s">
        <v>209</v>
      </c>
      <c r="AB305" s="158"/>
      <c r="AC305" s="100"/>
      <c r="AD305" s="100"/>
      <c r="AE305" s="228"/>
      <c r="AF305" s="228"/>
      <c r="AG305" s="100"/>
      <c r="AH305" s="100"/>
      <c r="AI305" s="100"/>
      <c r="AJ305" s="159"/>
      <c r="AK305" s="159"/>
      <c r="AL305" s="159"/>
      <c r="AM305" s="159"/>
      <c r="AN305" s="159"/>
      <c r="AO305" s="159"/>
      <c r="AP305" s="159"/>
      <c r="AQ305" s="159"/>
    </row>
    <row r="306" spans="1:43" s="151" customFormat="1" ht="13.5" thickBot="1" x14ac:dyDescent="0.25">
      <c r="A306" s="159" t="str">
        <f>'Individual Awards'!F70</f>
        <v>∏0/∆0</v>
      </c>
      <c r="B306" s="356"/>
      <c r="C306" s="158" t="str">
        <f>'Individual Awards'!H70</f>
        <v>Allie Miller</v>
      </c>
      <c r="D306" s="66"/>
      <c r="E306" s="66"/>
      <c r="F306" s="66"/>
      <c r="G306" s="66"/>
      <c r="H306" s="416">
        <f>'Individual Awards'!G70</f>
        <v>1577</v>
      </c>
      <c r="I306" s="416"/>
      <c r="J306" s="334" t="str">
        <f t="shared" si="72"/>
        <v>Yale</v>
      </c>
      <c r="K306" s="292"/>
      <c r="L306" s="229"/>
      <c r="M306" s="225"/>
      <c r="N306" s="24"/>
      <c r="O306" s="24"/>
      <c r="P306" s="226"/>
      <c r="Q306" s="227"/>
      <c r="R306" s="227"/>
      <c r="S306" s="227"/>
      <c r="T306" s="227"/>
      <c r="U306" s="212"/>
      <c r="V306" s="212"/>
      <c r="W306" s="212"/>
      <c r="X306" s="212"/>
      <c r="Y306" s="171"/>
      <c r="Z306" s="171" t="str">
        <f>'Individual Awards'!I70</f>
        <v>Show</v>
      </c>
      <c r="AA306" s="151" t="s">
        <v>210</v>
      </c>
      <c r="AB306" s="158"/>
      <c r="AC306" s="100"/>
      <c r="AD306" s="100"/>
      <c r="AE306" s="228"/>
      <c r="AF306" s="228"/>
      <c r="AG306" s="100"/>
      <c r="AH306" s="100"/>
      <c r="AI306" s="100"/>
      <c r="AJ306" s="159"/>
      <c r="AK306" s="159"/>
      <c r="AL306" s="159"/>
      <c r="AM306" s="159"/>
      <c r="AN306" s="159"/>
      <c r="AO306" s="159"/>
      <c r="AP306" s="159"/>
      <c r="AQ306" s="159"/>
    </row>
    <row r="307" spans="1:43" s="151" customFormat="1" ht="13.5" thickBot="1" x14ac:dyDescent="0.25">
      <c r="A307" s="159" t="str">
        <f>'Individual Awards'!F71</f>
        <v>∏0/∆0</v>
      </c>
      <c r="B307" s="356"/>
      <c r="C307" s="158" t="str">
        <f>'Individual Awards'!H71</f>
        <v>Christian Navarrete</v>
      </c>
      <c r="D307" s="66"/>
      <c r="E307" s="66"/>
      <c r="F307" s="66"/>
      <c r="G307" s="66"/>
      <c r="H307" s="416">
        <f>'Individual Awards'!G71</f>
        <v>1557</v>
      </c>
      <c r="I307" s="416"/>
      <c r="J307" s="334" t="str">
        <f t="shared" si="72"/>
        <v>Harvard</v>
      </c>
      <c r="K307" s="292"/>
      <c r="L307" s="229"/>
      <c r="M307" s="225"/>
      <c r="N307" s="24"/>
      <c r="O307" s="24"/>
      <c r="P307" s="226"/>
      <c r="Q307" s="227"/>
      <c r="R307" s="227"/>
      <c r="S307" s="227"/>
      <c r="T307" s="227"/>
      <c r="U307" s="212"/>
      <c r="V307" s="212"/>
      <c r="W307" s="212"/>
      <c r="X307" s="212"/>
      <c r="Y307" s="171"/>
      <c r="Z307" s="171" t="str">
        <f>'Individual Awards'!I71</f>
        <v>Show</v>
      </c>
      <c r="AA307" s="151" t="s">
        <v>211</v>
      </c>
      <c r="AB307" s="158"/>
      <c r="AC307" s="100"/>
      <c r="AD307" s="100"/>
      <c r="AE307" s="228"/>
      <c r="AF307" s="228"/>
      <c r="AG307" s="100"/>
      <c r="AH307" s="100"/>
      <c r="AI307" s="100"/>
      <c r="AJ307" s="159"/>
      <c r="AK307" s="159"/>
      <c r="AL307" s="159"/>
      <c r="AM307" s="159"/>
      <c r="AN307" s="159"/>
      <c r="AO307" s="159"/>
      <c r="AP307" s="159"/>
      <c r="AQ307" s="159"/>
    </row>
    <row r="308" spans="1:43" s="151" customFormat="1" ht="13.5" thickBot="1" x14ac:dyDescent="0.25">
      <c r="A308" s="159" t="str">
        <f>'Individual Awards'!F72</f>
        <v>∏0/∆0</v>
      </c>
      <c r="B308" s="356"/>
      <c r="C308" s="158" t="str">
        <f>'Individual Awards'!H72</f>
        <v>Sabrina Grandhi</v>
      </c>
      <c r="D308" s="66"/>
      <c r="E308" s="66"/>
      <c r="F308" s="66"/>
      <c r="G308" s="66"/>
      <c r="H308" s="416">
        <f>'Individual Awards'!G72</f>
        <v>1001</v>
      </c>
      <c r="I308" s="416"/>
      <c r="J308" s="334" t="str">
        <f t="shared" si="72"/>
        <v>Virginia</v>
      </c>
      <c r="K308" s="292"/>
      <c r="L308" s="229"/>
      <c r="M308" s="225"/>
      <c r="N308" s="24"/>
      <c r="O308" s="24"/>
      <c r="P308" s="226"/>
      <c r="Q308" s="227"/>
      <c r="R308" s="227"/>
      <c r="S308" s="227"/>
      <c r="T308" s="227"/>
      <c r="U308" s="212"/>
      <c r="V308" s="212"/>
      <c r="W308" s="212"/>
      <c r="X308" s="212"/>
      <c r="Y308" s="171"/>
      <c r="Z308" s="171" t="str">
        <f>'Individual Awards'!I72</f>
        <v>Show</v>
      </c>
      <c r="AB308" s="158"/>
      <c r="AC308" s="100"/>
      <c r="AD308" s="100"/>
      <c r="AE308" s="228"/>
      <c r="AF308" s="228"/>
      <c r="AG308" s="100"/>
      <c r="AH308" s="100"/>
      <c r="AI308" s="100"/>
      <c r="AJ308" s="159"/>
      <c r="AK308" s="159"/>
      <c r="AL308" s="159"/>
      <c r="AM308" s="159"/>
      <c r="AN308" s="159"/>
      <c r="AO308" s="159"/>
      <c r="AP308" s="159"/>
      <c r="AQ308" s="159"/>
    </row>
    <row r="309" spans="1:43" s="151" customFormat="1" ht="13.5" thickBot="1" x14ac:dyDescent="0.25">
      <c r="A309" s="159" t="str">
        <f>'Individual Awards'!F73</f>
        <v>∏0/∆0</v>
      </c>
      <c r="B309" s="356"/>
      <c r="C309" s="158" t="str">
        <f>'Individual Awards'!H73</f>
        <v>Elizabeth Bays</v>
      </c>
      <c r="D309" s="66"/>
      <c r="E309" s="66"/>
      <c r="F309" s="66"/>
      <c r="G309" s="66"/>
      <c r="H309" s="416">
        <f>'Individual Awards'!G73</f>
        <v>1577</v>
      </c>
      <c r="I309" s="416"/>
      <c r="J309" s="334" t="str">
        <f t="shared" si="72"/>
        <v>Yale</v>
      </c>
      <c r="K309" s="292"/>
      <c r="L309" s="229"/>
      <c r="M309" s="225"/>
      <c r="N309" s="24"/>
      <c r="O309" s="24"/>
      <c r="P309" s="226"/>
      <c r="Q309" s="227"/>
      <c r="R309" s="227"/>
      <c r="S309" s="227"/>
      <c r="T309" s="227"/>
      <c r="U309" s="212"/>
      <c r="V309" s="212"/>
      <c r="W309" s="212"/>
      <c r="X309" s="212"/>
      <c r="Y309" s="171"/>
      <c r="Z309" s="171" t="str">
        <f>'Individual Awards'!I73</f>
        <v>Show</v>
      </c>
      <c r="AB309" s="158"/>
      <c r="AC309" s="100"/>
      <c r="AD309" s="100"/>
      <c r="AE309" s="228"/>
      <c r="AF309" s="228"/>
      <c r="AG309" s="100"/>
      <c r="AH309" s="100"/>
      <c r="AI309" s="100"/>
      <c r="AJ309" s="159"/>
      <c r="AK309" s="159"/>
      <c r="AL309" s="159"/>
      <c r="AM309" s="159"/>
      <c r="AN309" s="159"/>
      <c r="AO309" s="159"/>
      <c r="AP309" s="159"/>
      <c r="AQ309" s="159"/>
    </row>
    <row r="310" spans="1:43" s="151" customFormat="1" ht="13.5" thickBot="1" x14ac:dyDescent="0.25">
      <c r="A310" s="159" t="str">
        <f>'Individual Awards'!F74</f>
        <v>∆/∏</v>
      </c>
      <c r="B310" s="356"/>
      <c r="C310" s="158">
        <f>'Individual Awards'!H74</f>
        <v>0</v>
      </c>
      <c r="D310" s="66"/>
      <c r="E310" s="66"/>
      <c r="F310" s="66"/>
      <c r="G310" s="66"/>
      <c r="H310" s="416">
        <f>'Individual Awards'!G74</f>
        <v>0</v>
      </c>
      <c r="I310" s="416"/>
      <c r="J310" s="334">
        <f t="shared" si="72"/>
        <v>0</v>
      </c>
      <c r="K310" s="292"/>
      <c r="L310" s="229"/>
      <c r="M310" s="225"/>
      <c r="N310" s="24"/>
      <c r="O310" s="24"/>
      <c r="P310" s="226"/>
      <c r="Q310" s="227"/>
      <c r="R310" s="227"/>
      <c r="S310" s="227"/>
      <c r="T310" s="227"/>
      <c r="U310" s="212"/>
      <c r="V310" s="212"/>
      <c r="W310" s="212"/>
      <c r="X310" s="212"/>
      <c r="Y310" s="171"/>
      <c r="Z310" s="171" t="str">
        <f>'Individual Awards'!I74</f>
        <v>Show</v>
      </c>
      <c r="AB310" s="158"/>
      <c r="AC310" s="100"/>
      <c r="AD310" s="100"/>
      <c r="AE310" s="228"/>
      <c r="AF310" s="228"/>
      <c r="AG310" s="100"/>
      <c r="AH310" s="100"/>
      <c r="AI310" s="100"/>
      <c r="AJ310" s="159"/>
      <c r="AK310" s="159"/>
      <c r="AL310" s="159"/>
      <c r="AM310" s="159"/>
      <c r="AN310" s="159"/>
      <c r="AO310" s="159"/>
      <c r="AP310" s="159"/>
      <c r="AQ310" s="159"/>
    </row>
    <row r="311" spans="1:43" s="151" customFormat="1" ht="13.5" thickBot="1" x14ac:dyDescent="0.25">
      <c r="A311" s="159" t="str">
        <f>'Individual Awards'!F75</f>
        <v>∆/∏</v>
      </c>
      <c r="B311" s="356"/>
      <c r="C311" s="158">
        <f>'Individual Awards'!H75</f>
        <v>0</v>
      </c>
      <c r="D311" s="66"/>
      <c r="E311" s="66"/>
      <c r="F311" s="66"/>
      <c r="G311" s="66"/>
      <c r="H311" s="416">
        <f>'Individual Awards'!G75</f>
        <v>0</v>
      </c>
      <c r="I311" s="416"/>
      <c r="J311" s="334">
        <f t="shared" si="72"/>
        <v>0</v>
      </c>
      <c r="K311" s="292"/>
      <c r="L311" s="229"/>
      <c r="M311" s="225"/>
      <c r="N311" s="24"/>
      <c r="O311" s="24"/>
      <c r="P311" s="226"/>
      <c r="Q311" s="227"/>
      <c r="R311" s="227"/>
      <c r="S311" s="227"/>
      <c r="T311" s="227"/>
      <c r="U311" s="212"/>
      <c r="V311" s="212"/>
      <c r="W311" s="212"/>
      <c r="X311" s="212"/>
      <c r="Y311" s="171"/>
      <c r="Z311" s="171" t="str">
        <f>'Individual Awards'!I75</f>
        <v>Show</v>
      </c>
      <c r="AB311" s="158"/>
      <c r="AC311" s="100"/>
      <c r="AD311" s="100"/>
      <c r="AE311" s="228"/>
      <c r="AF311" s="228"/>
      <c r="AG311" s="100"/>
      <c r="AH311" s="100"/>
      <c r="AI311" s="100"/>
      <c r="AJ311" s="159"/>
      <c r="AK311" s="159"/>
      <c r="AL311" s="159"/>
      <c r="AM311" s="159"/>
      <c r="AN311" s="159"/>
      <c r="AO311" s="159"/>
      <c r="AP311" s="159"/>
      <c r="AQ311" s="159"/>
    </row>
    <row r="312" spans="1:43" s="151" customFormat="1" ht="13.5" thickBot="1" x14ac:dyDescent="0.25">
      <c r="A312" s="159" t="str">
        <f>'Individual Awards'!F76</f>
        <v>∆/∏</v>
      </c>
      <c r="B312" s="356"/>
      <c r="C312" s="158">
        <f>'Individual Awards'!H76</f>
        <v>0</v>
      </c>
      <c r="D312" s="66"/>
      <c r="E312" s="66"/>
      <c r="F312" s="66"/>
      <c r="G312" s="66"/>
      <c r="H312" s="416">
        <f>'Individual Awards'!G76</f>
        <v>0</v>
      </c>
      <c r="I312" s="416"/>
      <c r="J312" s="334">
        <f t="shared" si="72"/>
        <v>0</v>
      </c>
      <c r="K312" s="292"/>
      <c r="L312" s="229"/>
      <c r="M312" s="225"/>
      <c r="N312" s="24"/>
      <c r="O312" s="24"/>
      <c r="P312" s="226"/>
      <c r="Q312" s="227"/>
      <c r="R312" s="227"/>
      <c r="S312" s="227"/>
      <c r="T312" s="227"/>
      <c r="U312" s="212"/>
      <c r="V312" s="212"/>
      <c r="W312" s="212"/>
      <c r="X312" s="212"/>
      <c r="Y312" s="171"/>
      <c r="Z312" s="171" t="str">
        <f>'Individual Awards'!I76</f>
        <v>Show</v>
      </c>
      <c r="AB312" s="158"/>
      <c r="AC312" s="100"/>
      <c r="AD312" s="100"/>
      <c r="AE312" s="228"/>
      <c r="AF312" s="228"/>
      <c r="AG312" s="100"/>
      <c r="AH312" s="100"/>
      <c r="AI312" s="100"/>
      <c r="AJ312" s="159"/>
      <c r="AK312" s="159"/>
      <c r="AL312" s="159"/>
      <c r="AM312" s="159"/>
      <c r="AN312" s="159"/>
      <c r="AO312" s="159"/>
      <c r="AP312" s="159"/>
      <c r="AQ312" s="159"/>
    </row>
    <row r="313" spans="1:43" s="151" customFormat="1" ht="13.5" thickBot="1" x14ac:dyDescent="0.25">
      <c r="A313" s="159" t="str">
        <f>'Individual Awards'!F77</f>
        <v>∆/∏</v>
      </c>
      <c r="B313" s="356"/>
      <c r="C313" s="158">
        <f>'Individual Awards'!H77</f>
        <v>0</v>
      </c>
      <c r="D313" s="66"/>
      <c r="E313" s="66"/>
      <c r="F313" s="66"/>
      <c r="G313" s="66"/>
      <c r="H313" s="416">
        <f>'Individual Awards'!G77</f>
        <v>0</v>
      </c>
      <c r="I313" s="416"/>
      <c r="J313" s="334">
        <f t="shared" si="72"/>
        <v>0</v>
      </c>
      <c r="K313" s="292"/>
      <c r="L313" s="229"/>
      <c r="M313" s="225"/>
      <c r="N313" s="24"/>
      <c r="O313" s="24"/>
      <c r="P313" s="226"/>
      <c r="Q313" s="227"/>
      <c r="R313" s="227"/>
      <c r="S313" s="227"/>
      <c r="T313" s="227"/>
      <c r="U313" s="212"/>
      <c r="V313" s="212"/>
      <c r="W313" s="212"/>
      <c r="X313" s="212"/>
      <c r="Y313" s="171"/>
      <c r="Z313" s="171" t="str">
        <f>'Individual Awards'!I77</f>
        <v>Show</v>
      </c>
      <c r="AB313" s="158"/>
      <c r="AC313" s="100"/>
      <c r="AD313" s="100"/>
      <c r="AE313" s="228"/>
      <c r="AF313" s="228"/>
      <c r="AG313" s="100"/>
      <c r="AH313" s="100"/>
      <c r="AI313" s="100"/>
      <c r="AJ313" s="159"/>
      <c r="AK313" s="159"/>
      <c r="AL313" s="159"/>
      <c r="AM313" s="159"/>
      <c r="AN313" s="159"/>
      <c r="AO313" s="159"/>
      <c r="AP313" s="159"/>
      <c r="AQ313" s="159"/>
    </row>
    <row r="314" spans="1:43" s="151" customFormat="1" ht="13.5" thickBot="1" x14ac:dyDescent="0.25">
      <c r="A314" s="159" t="str">
        <f>'Individual Awards'!F78</f>
        <v>∆/∏</v>
      </c>
      <c r="B314" s="356"/>
      <c r="C314" s="158">
        <f>'Individual Awards'!H78</f>
        <v>0</v>
      </c>
      <c r="D314" s="66"/>
      <c r="E314" s="66"/>
      <c r="F314" s="66"/>
      <c r="G314" s="66"/>
      <c r="H314" s="416">
        <f>'Individual Awards'!G78</f>
        <v>0</v>
      </c>
      <c r="I314" s="416"/>
      <c r="J314" s="334">
        <f t="shared" si="72"/>
        <v>0</v>
      </c>
      <c r="K314" s="292"/>
      <c r="L314" s="229"/>
      <c r="M314" s="225"/>
      <c r="N314" s="24"/>
      <c r="O314" s="24"/>
      <c r="P314" s="226"/>
      <c r="Q314" s="227"/>
      <c r="R314" s="227"/>
      <c r="S314" s="227"/>
      <c r="T314" s="227"/>
      <c r="U314" s="212"/>
      <c r="V314" s="212"/>
      <c r="W314" s="212"/>
      <c r="X314" s="212"/>
      <c r="Y314" s="171"/>
      <c r="Z314" s="171" t="str">
        <f>'Individual Awards'!I78</f>
        <v>Show</v>
      </c>
      <c r="AB314" s="158"/>
      <c r="AC314" s="100"/>
      <c r="AD314" s="100"/>
      <c r="AE314" s="228"/>
      <c r="AF314" s="228"/>
      <c r="AG314" s="100"/>
      <c r="AH314" s="100"/>
      <c r="AI314" s="100"/>
      <c r="AJ314" s="159"/>
      <c r="AK314" s="159"/>
      <c r="AL314" s="159"/>
      <c r="AM314" s="159"/>
      <c r="AN314" s="159"/>
      <c r="AO314" s="159"/>
      <c r="AP314" s="159"/>
      <c r="AQ314" s="159"/>
    </row>
    <row r="315" spans="1:43" s="151" customFormat="1" ht="13.5" thickBot="1" x14ac:dyDescent="0.25">
      <c r="A315" s="159" t="str">
        <f>'Individual Awards'!F79</f>
        <v>∆/∏</v>
      </c>
      <c r="B315" s="356"/>
      <c r="C315" s="158">
        <f>'Individual Awards'!H79</f>
        <v>0</v>
      </c>
      <c r="D315" s="66"/>
      <c r="E315" s="66"/>
      <c r="F315" s="66"/>
      <c r="G315" s="66"/>
      <c r="H315" s="416">
        <f>'Individual Awards'!G79</f>
        <v>0</v>
      </c>
      <c r="I315" s="416"/>
      <c r="J315" s="334">
        <f t="shared" si="72"/>
        <v>0</v>
      </c>
      <c r="K315" s="292"/>
      <c r="L315" s="229"/>
      <c r="M315" s="225"/>
      <c r="N315" s="24"/>
      <c r="O315" s="24"/>
      <c r="P315" s="226"/>
      <c r="Q315" s="227"/>
      <c r="R315" s="227"/>
      <c r="S315" s="227"/>
      <c r="T315" s="227"/>
      <c r="U315" s="212"/>
      <c r="V315" s="212"/>
      <c r="W315" s="212"/>
      <c r="X315" s="212"/>
      <c r="Y315" s="171"/>
      <c r="Z315" s="171" t="str">
        <f>'Individual Awards'!I79</f>
        <v>Show</v>
      </c>
      <c r="AB315" s="158"/>
      <c r="AC315" s="100"/>
      <c r="AD315" s="100"/>
      <c r="AE315" s="228"/>
      <c r="AF315" s="228"/>
      <c r="AG315" s="100"/>
      <c r="AH315" s="100"/>
      <c r="AI315" s="100"/>
      <c r="AJ315" s="159"/>
      <c r="AK315" s="159"/>
      <c r="AL315" s="159"/>
      <c r="AM315" s="159"/>
      <c r="AN315" s="159"/>
      <c r="AO315" s="159"/>
      <c r="AP315" s="159"/>
      <c r="AQ315" s="159"/>
    </row>
    <row r="316" spans="1:43" s="151" customFormat="1" ht="13.5" thickBot="1" x14ac:dyDescent="0.25">
      <c r="A316" s="159" t="str">
        <f>'Individual Awards'!F80</f>
        <v>∆/∏</v>
      </c>
      <c r="B316" s="356"/>
      <c r="C316" s="158">
        <f>'Individual Awards'!H80</f>
        <v>0</v>
      </c>
      <c r="D316" s="66"/>
      <c r="E316" s="66"/>
      <c r="F316" s="66"/>
      <c r="G316" s="66"/>
      <c r="H316" s="416">
        <f>'Individual Awards'!G80</f>
        <v>0</v>
      </c>
      <c r="I316" s="416"/>
      <c r="J316" s="334">
        <f t="shared" si="72"/>
        <v>0</v>
      </c>
      <c r="K316" s="292"/>
      <c r="L316" s="229"/>
      <c r="M316" s="225"/>
      <c r="N316" s="24"/>
      <c r="O316" s="24"/>
      <c r="P316" s="226"/>
      <c r="Q316" s="227"/>
      <c r="R316" s="227"/>
      <c r="S316" s="227"/>
      <c r="T316" s="227"/>
      <c r="U316" s="212"/>
      <c r="V316" s="212"/>
      <c r="W316" s="212"/>
      <c r="X316" s="212"/>
      <c r="Y316" s="171"/>
      <c r="Z316" s="171" t="str">
        <f>'Individual Awards'!I80</f>
        <v>Show</v>
      </c>
      <c r="AB316" s="158"/>
      <c r="AC316" s="100"/>
      <c r="AD316" s="100"/>
      <c r="AE316" s="228"/>
      <c r="AF316" s="228"/>
      <c r="AG316" s="100"/>
      <c r="AH316" s="100"/>
      <c r="AI316" s="100"/>
      <c r="AJ316" s="159"/>
      <c r="AK316" s="159"/>
      <c r="AL316" s="159"/>
      <c r="AM316" s="159"/>
      <c r="AN316" s="159"/>
      <c r="AO316" s="159"/>
      <c r="AP316" s="159"/>
      <c r="AQ316" s="159"/>
    </row>
    <row r="317" spans="1:43" s="151" customFormat="1" ht="13.5" thickBot="1" x14ac:dyDescent="0.25">
      <c r="A317" s="159" t="str">
        <f>'Individual Awards'!F81</f>
        <v>∆/∏</v>
      </c>
      <c r="B317" s="356"/>
      <c r="C317" s="158">
        <f>'Individual Awards'!H81</f>
        <v>0</v>
      </c>
      <c r="D317" s="66"/>
      <c r="E317" s="66"/>
      <c r="F317" s="66"/>
      <c r="G317" s="66"/>
      <c r="H317" s="416">
        <f>'Individual Awards'!G81</f>
        <v>0</v>
      </c>
      <c r="I317" s="416"/>
      <c r="J317" s="334">
        <f t="shared" si="72"/>
        <v>0</v>
      </c>
      <c r="K317" s="292"/>
      <c r="L317" s="229"/>
      <c r="M317" s="225"/>
      <c r="N317" s="24"/>
      <c r="O317" s="24"/>
      <c r="P317" s="226"/>
      <c r="Q317" s="227"/>
      <c r="R317" s="227"/>
      <c r="S317" s="227"/>
      <c r="T317" s="227"/>
      <c r="U317" s="212"/>
      <c r="V317" s="212"/>
      <c r="W317" s="212"/>
      <c r="X317" s="212"/>
      <c r="Y317" s="171"/>
      <c r="Z317" s="171" t="str">
        <f>'Individual Awards'!I81</f>
        <v>Show</v>
      </c>
      <c r="AB317" s="158"/>
      <c r="AC317" s="100"/>
      <c r="AD317" s="100"/>
      <c r="AE317" s="228"/>
      <c r="AF317" s="228"/>
      <c r="AG317" s="100"/>
      <c r="AH317" s="100"/>
      <c r="AI317" s="100"/>
      <c r="AJ317" s="159"/>
      <c r="AK317" s="159"/>
      <c r="AL317" s="159"/>
      <c r="AM317" s="159"/>
      <c r="AN317" s="159"/>
      <c r="AO317" s="159"/>
      <c r="AP317" s="159"/>
      <c r="AQ317" s="159"/>
    </row>
    <row r="318" spans="1:43" s="151" customFormat="1" ht="13.5" thickBot="1" x14ac:dyDescent="0.25">
      <c r="A318" s="159" t="str">
        <f>'Individual Awards'!F82</f>
        <v>∆/∏</v>
      </c>
      <c r="B318" s="356"/>
      <c r="C318" s="158">
        <f>'Individual Awards'!H82</f>
        <v>0</v>
      </c>
      <c r="D318" s="66"/>
      <c r="E318" s="66"/>
      <c r="F318" s="66"/>
      <c r="G318" s="66"/>
      <c r="H318" s="416">
        <f>'Individual Awards'!G82</f>
        <v>0</v>
      </c>
      <c r="I318" s="416"/>
      <c r="J318" s="334">
        <f t="shared" si="72"/>
        <v>0</v>
      </c>
      <c r="K318" s="292"/>
      <c r="L318" s="229"/>
      <c r="M318" s="225"/>
      <c r="N318" s="24"/>
      <c r="O318" s="24"/>
      <c r="P318" s="226"/>
      <c r="Q318" s="227"/>
      <c r="R318" s="227"/>
      <c r="S318" s="227"/>
      <c r="T318" s="227"/>
      <c r="U318" s="212"/>
      <c r="V318" s="212"/>
      <c r="W318" s="212"/>
      <c r="X318" s="212"/>
      <c r="Y318" s="171"/>
      <c r="Z318" s="171" t="str">
        <f>'Individual Awards'!I82</f>
        <v>Show</v>
      </c>
      <c r="AB318" s="158"/>
      <c r="AC318" s="159"/>
      <c r="AD318" s="159"/>
      <c r="AE318" s="158"/>
      <c r="AF318" s="158"/>
      <c r="AG318" s="159"/>
      <c r="AH318" s="159"/>
      <c r="AI318" s="159"/>
      <c r="AJ318" s="159"/>
      <c r="AK318" s="159"/>
      <c r="AL318" s="159"/>
      <c r="AM318" s="159"/>
      <c r="AN318" s="159"/>
      <c r="AO318" s="159"/>
      <c r="AP318" s="159"/>
      <c r="AQ318" s="159"/>
    </row>
    <row r="319" spans="1:43" s="151" customFormat="1" ht="13.5" thickBot="1" x14ac:dyDescent="0.25">
      <c r="A319" s="159" t="str">
        <f>'Individual Awards'!F83</f>
        <v>∆/∏</v>
      </c>
      <c r="B319" s="356"/>
      <c r="C319" s="158">
        <f>'Individual Awards'!H83</f>
        <v>0</v>
      </c>
      <c r="D319" s="66"/>
      <c r="E319" s="66"/>
      <c r="F319" s="66"/>
      <c r="G319" s="66"/>
      <c r="H319" s="416">
        <f>'Individual Awards'!G83</f>
        <v>0</v>
      </c>
      <c r="I319" s="416"/>
      <c r="J319" s="334">
        <f t="shared" si="72"/>
        <v>0</v>
      </c>
      <c r="K319" s="292"/>
      <c r="L319" s="229"/>
      <c r="M319" s="225"/>
      <c r="N319" s="24"/>
      <c r="O319" s="24"/>
      <c r="P319" s="226"/>
      <c r="Q319" s="227"/>
      <c r="R319" s="227"/>
      <c r="S319" s="227"/>
      <c r="T319" s="227"/>
      <c r="U319" s="212"/>
      <c r="V319" s="212"/>
      <c r="W319" s="212"/>
      <c r="X319" s="212"/>
      <c r="Y319" s="171"/>
      <c r="Z319" s="171" t="str">
        <f>'Individual Awards'!I83</f>
        <v>Show</v>
      </c>
      <c r="AB319" s="158"/>
      <c r="AC319" s="159"/>
      <c r="AD319" s="159"/>
      <c r="AE319" s="158"/>
      <c r="AF319" s="158"/>
      <c r="AG319" s="159"/>
      <c r="AH319" s="159"/>
      <c r="AI319" s="159"/>
      <c r="AJ319" s="159"/>
      <c r="AK319" s="159"/>
      <c r="AL319" s="159"/>
      <c r="AM319" s="159"/>
      <c r="AN319" s="159"/>
      <c r="AO319" s="159"/>
      <c r="AP319" s="159"/>
      <c r="AQ319" s="159"/>
    </row>
    <row r="320" spans="1:43" s="151" customFormat="1" ht="13.5" thickBot="1" x14ac:dyDescent="0.25">
      <c r="A320" s="159" t="str">
        <f>'Individual Awards'!F84</f>
        <v>∆/∏</v>
      </c>
      <c r="B320" s="356"/>
      <c r="C320" s="158">
        <f>'Individual Awards'!H84</f>
        <v>0</v>
      </c>
      <c r="D320" s="66"/>
      <c r="E320" s="66"/>
      <c r="F320" s="66"/>
      <c r="G320" s="66"/>
      <c r="H320" s="416">
        <f>'Individual Awards'!G84</f>
        <v>0</v>
      </c>
      <c r="I320" s="416"/>
      <c r="J320" s="334">
        <f t="shared" si="72"/>
        <v>0</v>
      </c>
      <c r="K320" s="292"/>
      <c r="L320" s="229"/>
      <c r="M320" s="225"/>
      <c r="N320" s="24"/>
      <c r="O320" s="24"/>
      <c r="P320" s="226"/>
      <c r="Q320" s="227"/>
      <c r="R320" s="227"/>
      <c r="S320" s="227"/>
      <c r="T320" s="227"/>
      <c r="U320" s="212"/>
      <c r="V320" s="212"/>
      <c r="W320" s="212"/>
      <c r="X320" s="212"/>
      <c r="Y320" s="171"/>
      <c r="Z320" s="171" t="str">
        <f>'Individual Awards'!I84</f>
        <v>Show</v>
      </c>
      <c r="AB320" s="158"/>
      <c r="AC320" s="159"/>
      <c r="AD320" s="159"/>
      <c r="AE320" s="158"/>
      <c r="AF320" s="158"/>
      <c r="AG320" s="159"/>
      <c r="AH320" s="159"/>
      <c r="AI320" s="159"/>
      <c r="AJ320" s="159"/>
      <c r="AK320" s="159"/>
      <c r="AL320" s="159"/>
      <c r="AM320" s="159"/>
      <c r="AN320" s="159"/>
      <c r="AO320" s="159"/>
      <c r="AP320" s="159"/>
      <c r="AQ320" s="159"/>
    </row>
    <row r="321" spans="1:43" s="151" customFormat="1" ht="13.5" thickBot="1" x14ac:dyDescent="0.25">
      <c r="A321" s="159" t="str">
        <f>'Individual Awards'!F85</f>
        <v>∆/∏</v>
      </c>
      <c r="B321" s="356"/>
      <c r="C321" s="158">
        <f>'Individual Awards'!H85</f>
        <v>0</v>
      </c>
      <c r="D321" s="66"/>
      <c r="E321" s="66"/>
      <c r="F321" s="66"/>
      <c r="G321" s="66"/>
      <c r="H321" s="416">
        <f>'Individual Awards'!G85</f>
        <v>0</v>
      </c>
      <c r="I321" s="416"/>
      <c r="J321" s="334">
        <f t="shared" si="72"/>
        <v>0</v>
      </c>
      <c r="K321" s="292"/>
      <c r="L321" s="229"/>
      <c r="M321" s="225"/>
      <c r="N321" s="24"/>
      <c r="O321" s="24"/>
      <c r="P321" s="226"/>
      <c r="Q321" s="227"/>
      <c r="R321" s="227"/>
      <c r="S321" s="227"/>
      <c r="T321" s="227"/>
      <c r="U321" s="212"/>
      <c r="V321" s="212"/>
      <c r="W321" s="212"/>
      <c r="X321" s="212"/>
      <c r="Y321" s="171"/>
      <c r="Z321" s="171" t="str">
        <f>'Individual Awards'!I85</f>
        <v>Show</v>
      </c>
      <c r="AB321" s="158"/>
      <c r="AC321" s="159"/>
      <c r="AD321" s="159"/>
      <c r="AE321" s="158"/>
      <c r="AF321" s="158"/>
      <c r="AG321" s="159"/>
      <c r="AH321" s="159"/>
      <c r="AI321" s="159"/>
      <c r="AJ321" s="159"/>
      <c r="AK321" s="159"/>
      <c r="AL321" s="159"/>
      <c r="AM321" s="159"/>
      <c r="AN321" s="159"/>
      <c r="AO321" s="159"/>
      <c r="AP321" s="159"/>
      <c r="AQ321" s="159"/>
    </row>
    <row r="322" spans="1:43" s="151" customFormat="1" ht="13.5" hidden="1" thickBot="1" x14ac:dyDescent="0.25">
      <c r="A322" s="229"/>
      <c r="B322" s="356"/>
      <c r="C322" s="24"/>
      <c r="D322" s="225"/>
      <c r="E322" s="24"/>
      <c r="F322" s="24"/>
      <c r="G322" s="225"/>
      <c r="H322" s="447"/>
      <c r="I322" s="447"/>
      <c r="J322" s="286"/>
      <c r="K322" s="24"/>
      <c r="L322" s="24"/>
      <c r="M322" s="225"/>
      <c r="N322" s="24"/>
      <c r="O322" s="24"/>
      <c r="P322" s="226"/>
      <c r="Q322" s="227"/>
      <c r="R322" s="227"/>
      <c r="S322" s="227"/>
      <c r="T322" s="227"/>
      <c r="U322" s="212"/>
      <c r="V322" s="212"/>
      <c r="W322" s="212"/>
      <c r="X322" s="212"/>
      <c r="Y322" s="171"/>
      <c r="Z322" s="151" t="str">
        <f>IF(A322 &gt;0,IF(A322 &lt;"zz","Show","Hide"),"Hide")</f>
        <v>Hide</v>
      </c>
      <c r="AB322" s="158"/>
      <c r="AC322" s="159"/>
      <c r="AD322" s="159"/>
      <c r="AE322" s="158"/>
      <c r="AF322" s="158"/>
      <c r="AG322" s="159"/>
      <c r="AH322" s="159"/>
      <c r="AI322" s="159"/>
      <c r="AJ322" s="159"/>
      <c r="AK322" s="159"/>
      <c r="AL322" s="159"/>
      <c r="AM322" s="159"/>
      <c r="AN322" s="159"/>
      <c r="AO322" s="159"/>
      <c r="AP322" s="159"/>
      <c r="AQ322" s="159"/>
    </row>
    <row r="323" spans="1:43" s="1" customFormat="1" x14ac:dyDescent="0.2">
      <c r="A323" s="24"/>
      <c r="B323" s="24"/>
      <c r="C323" s="24"/>
      <c r="D323" s="225"/>
      <c r="E323" s="24"/>
      <c r="F323" s="24"/>
      <c r="G323" s="225"/>
      <c r="H323" s="24"/>
      <c r="I323" s="24"/>
      <c r="J323" s="225"/>
      <c r="K323" s="24"/>
      <c r="L323" s="24"/>
      <c r="M323" s="225"/>
      <c r="N323" s="24"/>
      <c r="O323" s="24"/>
      <c r="P323" s="226"/>
      <c r="Q323" s="227"/>
      <c r="R323" s="227"/>
      <c r="S323" s="227"/>
      <c r="T323" s="227"/>
      <c r="U323" s="212"/>
      <c r="V323" s="212"/>
      <c r="W323" s="212"/>
      <c r="X323" s="212"/>
      <c r="Y323" s="151"/>
      <c r="Z323" s="357" t="str">
        <f>IF(A323&gt;"","Show","Hide")</f>
        <v>Hide</v>
      </c>
      <c r="AA323" s="151"/>
      <c r="AB323" s="4"/>
      <c r="AC323" s="147"/>
      <c r="AD323" s="147"/>
      <c r="AE323" s="4"/>
      <c r="AF323" s="4"/>
      <c r="AG323" s="147"/>
      <c r="AH323" s="147"/>
      <c r="AI323" s="147"/>
      <c r="AJ323" s="147"/>
      <c r="AK323" s="147"/>
      <c r="AL323" s="147"/>
      <c r="AM323" s="147"/>
      <c r="AN323" s="147"/>
      <c r="AO323" s="147"/>
      <c r="AP323" s="147"/>
      <c r="AQ323" s="147"/>
    </row>
    <row r="324" spans="1:43" s="1" customFormat="1" x14ac:dyDescent="0.2">
      <c r="A324" s="6"/>
      <c r="B324" s="6"/>
      <c r="C324" s="6"/>
      <c r="D324" s="11"/>
      <c r="E324" s="6"/>
      <c r="F324" s="6"/>
      <c r="G324" s="11"/>
      <c r="H324" s="6"/>
      <c r="I324" s="6"/>
      <c r="J324" s="11"/>
      <c r="K324" s="6"/>
      <c r="L324" s="6"/>
      <c r="M324" s="11"/>
      <c r="N324" s="6"/>
      <c r="O324" s="6"/>
      <c r="P324" s="139"/>
      <c r="Q324" s="7"/>
      <c r="R324" s="7"/>
      <c r="S324" s="7"/>
      <c r="T324" s="7"/>
      <c r="U324" s="137"/>
      <c r="V324" s="137"/>
      <c r="W324" s="137"/>
      <c r="X324" s="137"/>
      <c r="AA324" s="151" t="s">
        <v>214</v>
      </c>
      <c r="AB324" s="4"/>
      <c r="AC324" s="147"/>
      <c r="AD324" s="147"/>
      <c r="AE324" s="4"/>
      <c r="AF324" s="4"/>
      <c r="AG324" s="147"/>
      <c r="AH324" s="147"/>
      <c r="AI324" s="147"/>
      <c r="AJ324" s="147"/>
      <c r="AK324" s="147"/>
      <c r="AL324" s="147"/>
      <c r="AM324" s="147"/>
      <c r="AN324" s="147"/>
      <c r="AO324" s="147"/>
      <c r="AP324" s="147"/>
      <c r="AQ324" s="147"/>
    </row>
    <row r="325" spans="1:43" s="1" customFormat="1" x14ac:dyDescent="0.2">
      <c r="A325" s="6"/>
      <c r="B325" s="6"/>
      <c r="C325" s="6"/>
      <c r="D325" s="11"/>
      <c r="E325" s="6"/>
      <c r="F325" s="6"/>
      <c r="G325" s="11"/>
      <c r="H325" s="6"/>
      <c r="I325" s="6"/>
      <c r="J325" s="11"/>
      <c r="K325" s="6"/>
      <c r="L325" s="6"/>
      <c r="M325" s="11"/>
      <c r="N325" s="6"/>
      <c r="O325" s="6"/>
      <c r="P325" s="139"/>
      <c r="Q325" s="7"/>
      <c r="R325" s="7"/>
      <c r="S325" s="7"/>
      <c r="T325" s="7"/>
      <c r="U325" s="137"/>
      <c r="V325" s="137"/>
      <c r="W325" s="137"/>
      <c r="X325" s="137"/>
      <c r="AB325" s="4"/>
      <c r="AC325" s="147"/>
      <c r="AD325" s="147"/>
      <c r="AE325" s="4"/>
      <c r="AF325" s="4"/>
      <c r="AG325" s="147"/>
      <c r="AH325" s="147"/>
      <c r="AI325" s="147"/>
      <c r="AJ325" s="147"/>
      <c r="AK325" s="147"/>
      <c r="AL325" s="147"/>
      <c r="AM325" s="147"/>
      <c r="AN325" s="147"/>
      <c r="AO325" s="147"/>
      <c r="AP325" s="147"/>
      <c r="AQ325" s="147"/>
    </row>
    <row r="326" spans="1:43" s="1" customFormat="1" x14ac:dyDescent="0.2">
      <c r="A326" s="6"/>
      <c r="B326" s="6"/>
      <c r="C326" s="6"/>
      <c r="D326" s="11"/>
      <c r="E326" s="6"/>
      <c r="F326" s="6"/>
      <c r="G326" s="11"/>
      <c r="H326" s="6"/>
      <c r="I326" s="6"/>
      <c r="J326" s="11"/>
      <c r="K326" s="6"/>
      <c r="L326" s="6"/>
      <c r="M326" s="11"/>
      <c r="N326" s="6"/>
      <c r="O326" s="6"/>
      <c r="P326" s="139"/>
      <c r="Q326" s="7"/>
      <c r="R326" s="7"/>
      <c r="S326" s="7"/>
      <c r="T326" s="7"/>
      <c r="U326" s="137"/>
      <c r="V326" s="137"/>
      <c r="W326" s="137"/>
      <c r="X326" s="137"/>
      <c r="AB326" s="4"/>
      <c r="AC326" s="147"/>
      <c r="AD326" s="147"/>
      <c r="AE326" s="4"/>
      <c r="AF326" s="4"/>
      <c r="AG326" s="147"/>
      <c r="AH326" s="147"/>
      <c r="AI326" s="147"/>
      <c r="AJ326" s="147"/>
      <c r="AK326" s="147"/>
      <c r="AL326" s="147"/>
      <c r="AM326" s="147"/>
      <c r="AN326" s="147"/>
      <c r="AO326" s="147"/>
      <c r="AP326" s="147"/>
      <c r="AQ326" s="147"/>
    </row>
    <row r="327" spans="1:43" s="1" customFormat="1" x14ac:dyDescent="0.2">
      <c r="A327" s="6"/>
      <c r="B327" s="6"/>
      <c r="C327" s="6"/>
      <c r="D327" s="11"/>
      <c r="E327" s="6"/>
      <c r="F327" s="6"/>
      <c r="G327" s="11"/>
      <c r="H327" s="6"/>
      <c r="I327" s="6"/>
      <c r="J327" s="11"/>
      <c r="K327" s="6"/>
      <c r="L327" s="6"/>
      <c r="M327" s="11"/>
      <c r="N327" s="6"/>
      <c r="O327" s="6"/>
      <c r="P327" s="139"/>
      <c r="Q327" s="7"/>
      <c r="R327" s="7"/>
      <c r="S327" s="7"/>
      <c r="T327" s="7"/>
      <c r="U327" s="137"/>
      <c r="V327" s="137"/>
      <c r="W327" s="137"/>
      <c r="X327" s="137"/>
      <c r="AB327" s="4"/>
      <c r="AC327" s="147"/>
      <c r="AD327" s="147"/>
      <c r="AE327" s="4"/>
      <c r="AF327" s="4"/>
      <c r="AG327" s="147"/>
      <c r="AH327" s="147"/>
      <c r="AI327" s="147"/>
      <c r="AJ327" s="147"/>
      <c r="AK327" s="147"/>
      <c r="AL327" s="147"/>
      <c r="AM327" s="147"/>
      <c r="AN327" s="147"/>
      <c r="AO327" s="147"/>
      <c r="AP327" s="147"/>
      <c r="AQ327" s="147"/>
    </row>
    <row r="328" spans="1:43" s="1" customFormat="1" x14ac:dyDescent="0.2">
      <c r="A328" s="6"/>
      <c r="B328" s="6"/>
      <c r="C328" s="6"/>
      <c r="D328" s="11"/>
      <c r="E328" s="6"/>
      <c r="F328" s="6"/>
      <c r="G328" s="11"/>
      <c r="H328" s="6"/>
      <c r="I328" s="6"/>
      <c r="J328" s="11"/>
      <c r="K328" s="6"/>
      <c r="L328" s="6"/>
      <c r="M328" s="11"/>
      <c r="N328" s="6"/>
      <c r="O328" s="6"/>
      <c r="P328" s="139"/>
      <c r="Q328" s="7"/>
      <c r="R328" s="7"/>
      <c r="S328" s="7"/>
      <c r="T328" s="7"/>
      <c r="U328" s="137"/>
      <c r="V328" s="137"/>
      <c r="W328" s="137"/>
      <c r="X328" s="137"/>
      <c r="AB328" s="4"/>
      <c r="AC328" s="147"/>
      <c r="AD328" s="147"/>
      <c r="AE328" s="4"/>
      <c r="AF328" s="4"/>
      <c r="AG328" s="147"/>
      <c r="AH328" s="147"/>
      <c r="AI328" s="147"/>
      <c r="AJ328" s="147"/>
      <c r="AK328" s="147"/>
      <c r="AL328" s="147"/>
      <c r="AM328" s="147"/>
      <c r="AN328" s="147"/>
      <c r="AO328" s="147"/>
      <c r="AP328" s="147"/>
      <c r="AQ328" s="147"/>
    </row>
    <row r="329" spans="1:43" s="1" customFormat="1" x14ac:dyDescent="0.2">
      <c r="A329" s="6"/>
      <c r="B329" s="6"/>
      <c r="C329" s="6"/>
      <c r="D329" s="11"/>
      <c r="E329" s="6"/>
      <c r="F329" s="6"/>
      <c r="G329" s="11"/>
      <c r="H329" s="6"/>
      <c r="I329" s="6"/>
      <c r="J329" s="11"/>
      <c r="K329" s="6"/>
      <c r="L329" s="6"/>
      <c r="M329" s="11"/>
      <c r="N329" s="6"/>
      <c r="O329" s="6"/>
      <c r="P329" s="139"/>
      <c r="Q329" s="7"/>
      <c r="R329" s="7"/>
      <c r="S329" s="7"/>
      <c r="T329" s="7"/>
      <c r="U329" s="137"/>
      <c r="V329" s="137"/>
      <c r="W329" s="137"/>
      <c r="X329" s="137"/>
      <c r="AB329" s="4"/>
      <c r="AC329" s="147"/>
      <c r="AD329" s="147"/>
      <c r="AE329" s="4"/>
      <c r="AF329" s="4"/>
      <c r="AG329" s="147"/>
      <c r="AH329" s="147"/>
      <c r="AI329" s="147"/>
      <c r="AJ329" s="147"/>
      <c r="AK329" s="147"/>
      <c r="AL329" s="147"/>
      <c r="AM329" s="147"/>
      <c r="AN329" s="147"/>
      <c r="AO329" s="147"/>
      <c r="AP329" s="147"/>
      <c r="AQ329" s="147"/>
    </row>
    <row r="330" spans="1:43" s="1" customFormat="1" x14ac:dyDescent="0.2">
      <c r="A330" s="6"/>
      <c r="B330" s="6"/>
      <c r="C330" s="6"/>
      <c r="D330" s="11"/>
      <c r="E330" s="6"/>
      <c r="F330" s="6"/>
      <c r="G330" s="11"/>
      <c r="H330" s="6"/>
      <c r="I330" s="6"/>
      <c r="J330" s="11"/>
      <c r="K330" s="6"/>
      <c r="L330" s="6"/>
      <c r="M330" s="11"/>
      <c r="N330" s="6"/>
      <c r="O330" s="6"/>
      <c r="P330" s="139"/>
      <c r="Q330" s="7"/>
      <c r="R330" s="7"/>
      <c r="S330" s="7"/>
      <c r="T330" s="7"/>
      <c r="U330" s="137"/>
      <c r="V330" s="137"/>
      <c r="W330" s="137"/>
      <c r="X330" s="137"/>
      <c r="AB330" s="4"/>
      <c r="AC330" s="147"/>
      <c r="AD330" s="147"/>
      <c r="AE330" s="4"/>
      <c r="AF330" s="4"/>
      <c r="AG330" s="147"/>
      <c r="AH330" s="147"/>
      <c r="AI330" s="147"/>
      <c r="AJ330" s="147"/>
      <c r="AK330" s="147"/>
      <c r="AL330" s="147"/>
      <c r="AM330" s="147"/>
      <c r="AN330" s="147"/>
      <c r="AO330" s="147"/>
      <c r="AP330" s="147"/>
      <c r="AQ330" s="147"/>
    </row>
    <row r="331" spans="1:43" s="1" customFormat="1" x14ac:dyDescent="0.2">
      <c r="A331" s="6"/>
      <c r="B331" s="6"/>
      <c r="C331" s="6"/>
      <c r="D331" s="11"/>
      <c r="E331" s="6"/>
      <c r="F331" s="6"/>
      <c r="G331" s="11"/>
      <c r="H331" s="6"/>
      <c r="I331" s="6"/>
      <c r="J331" s="11"/>
      <c r="K331" s="6"/>
      <c r="L331" s="6"/>
      <c r="M331" s="11"/>
      <c r="N331" s="6"/>
      <c r="O331" s="6"/>
      <c r="P331" s="139"/>
      <c r="Q331" s="7"/>
      <c r="R331" s="7"/>
      <c r="S331" s="7"/>
      <c r="T331" s="7"/>
      <c r="U331" s="137"/>
      <c r="V331" s="137"/>
      <c r="W331" s="137"/>
      <c r="X331" s="137"/>
      <c r="AB331" s="4"/>
      <c r="AC331" s="147"/>
      <c r="AD331" s="147"/>
      <c r="AE331" s="4"/>
      <c r="AF331" s="4"/>
      <c r="AG331" s="147"/>
      <c r="AH331" s="147"/>
      <c r="AI331" s="147"/>
      <c r="AJ331" s="147"/>
      <c r="AK331" s="147"/>
      <c r="AL331" s="147"/>
      <c r="AM331" s="147"/>
      <c r="AN331" s="147"/>
      <c r="AO331" s="147"/>
      <c r="AP331" s="147"/>
      <c r="AQ331" s="147"/>
    </row>
    <row r="332" spans="1:43" s="1" customFormat="1" x14ac:dyDescent="0.2">
      <c r="A332" s="6"/>
      <c r="B332" s="6"/>
      <c r="C332" s="6"/>
      <c r="D332" s="11"/>
      <c r="E332" s="6"/>
      <c r="F332" s="6"/>
      <c r="G332" s="11"/>
      <c r="H332" s="6"/>
      <c r="I332" s="6"/>
      <c r="J332" s="11"/>
      <c r="K332" s="6"/>
      <c r="L332" s="6"/>
      <c r="M332" s="11"/>
      <c r="N332" s="6"/>
      <c r="O332" s="6"/>
      <c r="P332" s="139"/>
      <c r="Q332" s="7"/>
      <c r="R332" s="7"/>
      <c r="S332" s="7"/>
      <c r="T332" s="7"/>
      <c r="U332" s="137"/>
      <c r="V332" s="137"/>
      <c r="W332" s="137"/>
      <c r="X332" s="137"/>
      <c r="AB332" s="4"/>
      <c r="AC332" s="147"/>
      <c r="AD332" s="147"/>
      <c r="AE332" s="4"/>
      <c r="AF332" s="4"/>
      <c r="AG332" s="147"/>
      <c r="AH332" s="147"/>
      <c r="AI332" s="147"/>
      <c r="AJ332" s="147"/>
      <c r="AK332" s="147"/>
      <c r="AL332" s="147"/>
      <c r="AM332" s="147"/>
      <c r="AN332" s="147"/>
      <c r="AO332" s="147"/>
      <c r="AP332" s="147"/>
      <c r="AQ332" s="147"/>
    </row>
    <row r="333" spans="1:43" s="1" customFormat="1" x14ac:dyDescent="0.2">
      <c r="A333" s="6"/>
      <c r="B333" s="6"/>
      <c r="C333" s="6"/>
      <c r="D333" s="11"/>
      <c r="E333" s="6"/>
      <c r="F333" s="6"/>
      <c r="G333" s="11"/>
      <c r="H333" s="6"/>
      <c r="I333" s="6"/>
      <c r="J333" s="11"/>
      <c r="K333" s="6"/>
      <c r="L333" s="6"/>
      <c r="M333" s="11"/>
      <c r="N333" s="6"/>
      <c r="O333" s="6"/>
      <c r="P333" s="139"/>
      <c r="Q333" s="7"/>
      <c r="R333" s="7"/>
      <c r="S333" s="7"/>
      <c r="T333" s="7"/>
      <c r="U333" s="137"/>
      <c r="V333" s="137"/>
      <c r="W333" s="137"/>
      <c r="X333" s="137"/>
      <c r="AA333" s="4"/>
      <c r="AB333" s="4"/>
      <c r="AC333" s="147"/>
      <c r="AD333" s="147"/>
      <c r="AE333" s="4"/>
      <c r="AF333" s="4"/>
      <c r="AG333" s="147"/>
      <c r="AH333" s="147"/>
      <c r="AI333" s="147"/>
      <c r="AJ333" s="147"/>
      <c r="AK333" s="147"/>
      <c r="AL333" s="147"/>
      <c r="AM333" s="147"/>
      <c r="AN333" s="147"/>
      <c r="AO333" s="147"/>
      <c r="AP333" s="147"/>
      <c r="AQ333" s="147"/>
    </row>
    <row r="334" spans="1:43" s="1" customFormat="1" x14ac:dyDescent="0.2">
      <c r="A334" s="6"/>
      <c r="B334" s="6"/>
      <c r="C334" s="6"/>
      <c r="D334" s="11"/>
      <c r="E334" s="6"/>
      <c r="F334" s="6"/>
      <c r="G334" s="11"/>
      <c r="H334" s="6"/>
      <c r="I334" s="6"/>
      <c r="J334" s="11"/>
      <c r="K334" s="6"/>
      <c r="L334" s="6"/>
      <c r="M334" s="11"/>
      <c r="N334" s="6"/>
      <c r="O334" s="6"/>
      <c r="P334" s="139"/>
      <c r="Q334" s="7"/>
      <c r="R334" s="7"/>
      <c r="S334" s="7"/>
      <c r="T334" s="7"/>
      <c r="U334" s="137"/>
      <c r="V334" s="137"/>
      <c r="W334" s="137"/>
      <c r="X334" s="137"/>
      <c r="AA334" s="4"/>
      <c r="AB334" s="4"/>
      <c r="AC334" s="147"/>
      <c r="AD334" s="147"/>
      <c r="AE334" s="4"/>
      <c r="AF334" s="4"/>
      <c r="AG334" s="147"/>
      <c r="AH334" s="147"/>
      <c r="AI334" s="147"/>
      <c r="AJ334" s="147"/>
      <c r="AK334" s="147"/>
      <c r="AL334" s="147"/>
      <c r="AM334" s="147"/>
      <c r="AN334" s="147"/>
      <c r="AO334" s="147"/>
      <c r="AP334" s="147"/>
      <c r="AQ334" s="147"/>
    </row>
    <row r="335" spans="1:43" s="1" customFormat="1" x14ac:dyDescent="0.2">
      <c r="A335" s="6"/>
      <c r="B335" s="6"/>
      <c r="C335" s="6"/>
      <c r="D335" s="11"/>
      <c r="E335" s="6"/>
      <c r="F335" s="6"/>
      <c r="G335" s="11"/>
      <c r="H335" s="6"/>
      <c r="I335" s="6"/>
      <c r="J335" s="11"/>
      <c r="K335" s="6"/>
      <c r="L335" s="6"/>
      <c r="M335" s="11"/>
      <c r="N335" s="6"/>
      <c r="O335" s="6"/>
      <c r="P335" s="139"/>
      <c r="Q335" s="7"/>
      <c r="R335" s="7"/>
      <c r="S335" s="7"/>
      <c r="T335" s="7"/>
      <c r="U335" s="137"/>
      <c r="V335" s="137"/>
      <c r="W335" s="137"/>
      <c r="X335" s="137"/>
      <c r="AA335" s="4"/>
      <c r="AB335" s="4"/>
      <c r="AC335" s="147"/>
      <c r="AD335" s="147"/>
      <c r="AE335" s="4"/>
      <c r="AF335" s="4"/>
      <c r="AG335" s="147"/>
      <c r="AH335" s="147"/>
      <c r="AI335" s="147"/>
      <c r="AJ335" s="147"/>
      <c r="AK335" s="147"/>
      <c r="AL335" s="147"/>
      <c r="AM335" s="147"/>
      <c r="AN335" s="147"/>
      <c r="AO335" s="147"/>
      <c r="AP335" s="147"/>
      <c r="AQ335" s="147"/>
    </row>
    <row r="336" spans="1:43" s="1" customFormat="1" x14ac:dyDescent="0.2">
      <c r="A336" s="6"/>
      <c r="B336" s="6"/>
      <c r="C336" s="6"/>
      <c r="D336" s="11"/>
      <c r="E336" s="6"/>
      <c r="F336" s="6"/>
      <c r="G336" s="11"/>
      <c r="H336" s="6"/>
      <c r="I336" s="6"/>
      <c r="J336" s="11"/>
      <c r="K336" s="6"/>
      <c r="L336" s="6"/>
      <c r="M336" s="11"/>
      <c r="N336" s="6"/>
      <c r="O336" s="6"/>
      <c r="P336" s="139"/>
      <c r="Q336" s="7"/>
      <c r="R336" s="7"/>
      <c r="S336" s="7"/>
      <c r="T336" s="7"/>
      <c r="U336" s="137"/>
      <c r="V336" s="137"/>
      <c r="W336" s="137"/>
      <c r="X336" s="137"/>
      <c r="AA336" s="4"/>
      <c r="AB336" s="4"/>
      <c r="AC336" s="147"/>
      <c r="AD336" s="147"/>
      <c r="AE336" s="4"/>
      <c r="AF336" s="4"/>
      <c r="AG336" s="147"/>
      <c r="AH336" s="147"/>
      <c r="AI336" s="147"/>
      <c r="AJ336" s="147"/>
      <c r="AK336" s="147"/>
      <c r="AL336" s="147"/>
      <c r="AM336" s="147"/>
      <c r="AN336" s="147"/>
      <c r="AO336" s="147"/>
      <c r="AP336" s="147"/>
      <c r="AQ336" s="147"/>
    </row>
    <row r="337" spans="1:43" s="1" customFormat="1" x14ac:dyDescent="0.2">
      <c r="A337" s="6"/>
      <c r="B337" s="6"/>
      <c r="C337" s="6"/>
      <c r="D337" s="11"/>
      <c r="E337" s="6"/>
      <c r="F337" s="6"/>
      <c r="G337" s="11"/>
      <c r="H337" s="6"/>
      <c r="I337" s="6"/>
      <c r="J337" s="11"/>
      <c r="K337" s="6"/>
      <c r="L337" s="6"/>
      <c r="M337" s="11"/>
      <c r="N337" s="6"/>
      <c r="O337" s="6"/>
      <c r="P337" s="139"/>
      <c r="Q337" s="7"/>
      <c r="R337" s="7"/>
      <c r="S337" s="7"/>
      <c r="T337" s="7"/>
      <c r="U337" s="137"/>
      <c r="V337" s="137"/>
      <c r="W337" s="137"/>
      <c r="X337" s="137"/>
      <c r="AA337" s="4"/>
      <c r="AB337" s="4"/>
      <c r="AC337" s="147"/>
      <c r="AD337" s="147"/>
      <c r="AE337" s="4"/>
      <c r="AF337" s="4"/>
      <c r="AG337" s="147"/>
      <c r="AH337" s="147"/>
      <c r="AI337" s="147"/>
      <c r="AJ337" s="147"/>
      <c r="AK337" s="147"/>
      <c r="AL337" s="147"/>
      <c r="AM337" s="147"/>
      <c r="AN337" s="147"/>
      <c r="AO337" s="147"/>
      <c r="AP337" s="147"/>
      <c r="AQ337" s="147"/>
    </row>
    <row r="338" spans="1:43" s="1" customFormat="1" x14ac:dyDescent="0.2">
      <c r="A338" s="6"/>
      <c r="B338" s="6"/>
      <c r="C338" s="6"/>
      <c r="D338" s="11"/>
      <c r="E338" s="6"/>
      <c r="F338" s="6"/>
      <c r="G338" s="11"/>
      <c r="H338" s="6"/>
      <c r="I338" s="6"/>
      <c r="J338" s="11"/>
      <c r="K338" s="6"/>
      <c r="L338" s="6"/>
      <c r="M338" s="11"/>
      <c r="N338" s="6"/>
      <c r="O338" s="6"/>
      <c r="P338" s="139"/>
      <c r="Q338" s="7"/>
      <c r="R338" s="7"/>
      <c r="S338" s="7"/>
      <c r="T338" s="7"/>
      <c r="U338" s="137"/>
      <c r="V338" s="137"/>
      <c r="W338" s="137"/>
      <c r="X338" s="137"/>
      <c r="AA338" s="4"/>
      <c r="AB338" s="4"/>
      <c r="AC338" s="147"/>
      <c r="AD338" s="147"/>
      <c r="AE338" s="4"/>
      <c r="AF338" s="4"/>
      <c r="AG338" s="147"/>
      <c r="AH338" s="147"/>
      <c r="AI338" s="147"/>
      <c r="AJ338" s="147"/>
      <c r="AK338" s="147"/>
      <c r="AL338" s="147"/>
      <c r="AM338" s="147"/>
      <c r="AN338" s="147"/>
      <c r="AO338" s="147"/>
      <c r="AP338" s="147"/>
      <c r="AQ338" s="147"/>
    </row>
    <row r="339" spans="1:43" s="1" customFormat="1" x14ac:dyDescent="0.2">
      <c r="A339" s="6"/>
      <c r="B339" s="6"/>
      <c r="C339" s="6"/>
      <c r="D339" s="11"/>
      <c r="E339" s="6"/>
      <c r="F339" s="6"/>
      <c r="G339" s="11"/>
      <c r="H339" s="6"/>
      <c r="I339" s="6"/>
      <c r="J339" s="11"/>
      <c r="K339" s="6"/>
      <c r="L339" s="6"/>
      <c r="M339" s="11"/>
      <c r="N339" s="6"/>
      <c r="O339" s="6"/>
      <c r="P339" s="139"/>
      <c r="Q339" s="7"/>
      <c r="R339" s="7"/>
      <c r="S339" s="7"/>
      <c r="T339" s="7"/>
      <c r="U339" s="137"/>
      <c r="V339" s="137"/>
      <c r="W339" s="137"/>
      <c r="X339" s="137"/>
      <c r="AA339" s="4"/>
      <c r="AB339" s="4"/>
      <c r="AC339" s="147"/>
      <c r="AD339" s="147"/>
      <c r="AE339" s="4"/>
      <c r="AF339" s="4"/>
      <c r="AG339" s="147"/>
      <c r="AH339" s="147"/>
      <c r="AI339" s="147"/>
      <c r="AJ339" s="147"/>
      <c r="AK339" s="147"/>
      <c r="AL339" s="147"/>
      <c r="AM339" s="147"/>
      <c r="AN339" s="147"/>
      <c r="AO339" s="147"/>
      <c r="AP339" s="147"/>
      <c r="AQ339" s="147"/>
    </row>
    <row r="340" spans="1:43" s="1" customFormat="1" x14ac:dyDescent="0.2">
      <c r="A340" s="6"/>
      <c r="B340" s="6"/>
      <c r="C340" s="6"/>
      <c r="D340" s="11"/>
      <c r="E340" s="6"/>
      <c r="F340" s="6"/>
      <c r="G340" s="11"/>
      <c r="H340" s="6"/>
      <c r="I340" s="6"/>
      <c r="J340" s="11"/>
      <c r="K340" s="6"/>
      <c r="L340" s="6"/>
      <c r="M340" s="11"/>
      <c r="N340" s="6"/>
      <c r="O340" s="6"/>
      <c r="P340" s="139"/>
      <c r="Q340" s="7"/>
      <c r="R340" s="7"/>
      <c r="S340" s="7"/>
      <c r="T340" s="7"/>
      <c r="U340" s="137"/>
      <c r="V340" s="137"/>
      <c r="W340" s="137"/>
      <c r="X340" s="137"/>
      <c r="AA340" s="4"/>
      <c r="AB340" s="4"/>
      <c r="AC340" s="147"/>
      <c r="AD340" s="147"/>
      <c r="AE340" s="4"/>
      <c r="AF340" s="4"/>
      <c r="AG340" s="147"/>
      <c r="AH340" s="147"/>
      <c r="AI340" s="147"/>
      <c r="AJ340" s="147"/>
      <c r="AK340" s="147"/>
      <c r="AL340" s="147"/>
      <c r="AM340" s="147"/>
      <c r="AN340" s="147"/>
      <c r="AO340" s="147"/>
      <c r="AP340" s="147"/>
      <c r="AQ340" s="147"/>
    </row>
    <row r="341" spans="1:43" s="1" customFormat="1" x14ac:dyDescent="0.2">
      <c r="A341" s="6"/>
      <c r="B341" s="6"/>
      <c r="C341" s="6"/>
      <c r="D341" s="11"/>
      <c r="E341" s="6"/>
      <c r="F341" s="6"/>
      <c r="G341" s="11"/>
      <c r="H341" s="6"/>
      <c r="I341" s="6"/>
      <c r="J341" s="11"/>
      <c r="K341" s="6"/>
      <c r="L341" s="6"/>
      <c r="M341" s="11"/>
      <c r="N341" s="6"/>
      <c r="O341" s="6"/>
      <c r="P341" s="139"/>
      <c r="Q341" s="7"/>
      <c r="R341" s="7"/>
      <c r="S341" s="7"/>
      <c r="T341" s="7"/>
      <c r="U341" s="137"/>
      <c r="V341" s="137"/>
      <c r="W341" s="137"/>
      <c r="X341" s="137"/>
      <c r="AA341" s="4"/>
      <c r="AB341" s="4"/>
      <c r="AC341" s="147"/>
      <c r="AD341" s="147"/>
      <c r="AE341" s="4"/>
      <c r="AF341" s="4"/>
      <c r="AG341" s="147"/>
      <c r="AH341" s="147"/>
      <c r="AI341" s="147"/>
      <c r="AJ341" s="147"/>
      <c r="AK341" s="147"/>
      <c r="AL341" s="147"/>
      <c r="AM341" s="147"/>
      <c r="AN341" s="147"/>
      <c r="AO341" s="147"/>
      <c r="AP341" s="147"/>
      <c r="AQ341" s="147"/>
    </row>
    <row r="342" spans="1:43" s="1" customFormat="1" x14ac:dyDescent="0.2">
      <c r="A342" s="6"/>
      <c r="B342" s="6"/>
      <c r="C342" s="6"/>
      <c r="D342" s="11"/>
      <c r="E342" s="6"/>
      <c r="F342" s="6"/>
      <c r="G342" s="11"/>
      <c r="H342" s="6"/>
      <c r="I342" s="6"/>
      <c r="J342" s="11"/>
      <c r="K342" s="6"/>
      <c r="L342" s="6"/>
      <c r="M342" s="11"/>
      <c r="N342" s="6"/>
      <c r="O342" s="6"/>
      <c r="P342" s="139"/>
      <c r="Q342" s="7"/>
      <c r="R342" s="7"/>
      <c r="S342" s="7"/>
      <c r="T342" s="7"/>
      <c r="U342" s="137"/>
      <c r="V342" s="137"/>
      <c r="W342" s="137"/>
      <c r="X342" s="137"/>
      <c r="AA342" s="4"/>
      <c r="AB342" s="4"/>
      <c r="AC342" s="147"/>
      <c r="AD342" s="147"/>
      <c r="AE342" s="4"/>
      <c r="AF342" s="4"/>
      <c r="AG342" s="147"/>
      <c r="AH342" s="147"/>
      <c r="AI342" s="147"/>
      <c r="AJ342" s="147"/>
      <c r="AK342" s="147"/>
      <c r="AL342" s="147"/>
      <c r="AM342" s="147"/>
      <c r="AN342" s="147"/>
      <c r="AO342" s="147"/>
      <c r="AP342" s="147"/>
      <c r="AQ342" s="147"/>
    </row>
    <row r="343" spans="1:43" s="1" customFormat="1" x14ac:dyDescent="0.2">
      <c r="A343" s="6"/>
      <c r="B343" s="6"/>
      <c r="C343" s="6"/>
      <c r="D343" s="11"/>
      <c r="E343" s="6"/>
      <c r="F343" s="6"/>
      <c r="G343" s="11"/>
      <c r="H343" s="6"/>
      <c r="I343" s="6"/>
      <c r="J343" s="11"/>
      <c r="K343" s="6"/>
      <c r="L343" s="6"/>
      <c r="M343" s="11"/>
      <c r="N343" s="6"/>
      <c r="O343" s="6"/>
      <c r="P343" s="139"/>
      <c r="Q343" s="7"/>
      <c r="R343" s="7"/>
      <c r="S343" s="7"/>
      <c r="T343" s="7"/>
      <c r="U343" s="137"/>
      <c r="V343" s="137"/>
      <c r="W343" s="137"/>
      <c r="X343" s="137"/>
      <c r="AA343" s="4"/>
      <c r="AB343" s="4"/>
      <c r="AC343" s="147"/>
      <c r="AD343" s="147"/>
      <c r="AE343" s="4"/>
      <c r="AF343" s="4"/>
      <c r="AG343" s="147"/>
      <c r="AH343" s="147"/>
      <c r="AI343" s="147"/>
      <c r="AJ343" s="147"/>
      <c r="AK343" s="147"/>
      <c r="AL343" s="147"/>
      <c r="AM343" s="147"/>
      <c r="AN343" s="147"/>
      <c r="AO343" s="147"/>
      <c r="AP343" s="147"/>
      <c r="AQ343" s="147"/>
    </row>
    <row r="344" spans="1:43" s="1" customFormat="1" x14ac:dyDescent="0.2">
      <c r="A344" s="6"/>
      <c r="B344" s="6"/>
      <c r="C344" s="6"/>
      <c r="D344" s="11"/>
      <c r="E344" s="6"/>
      <c r="F344" s="6"/>
      <c r="G344" s="11"/>
      <c r="H344" s="6"/>
      <c r="I344" s="6"/>
      <c r="J344" s="11"/>
      <c r="K344" s="6"/>
      <c r="L344" s="6"/>
      <c r="M344" s="11"/>
      <c r="N344" s="6"/>
      <c r="O344" s="6"/>
      <c r="P344" s="139"/>
      <c r="Q344" s="7"/>
      <c r="R344" s="7"/>
      <c r="S344" s="7"/>
      <c r="T344" s="7"/>
      <c r="U344" s="137"/>
      <c r="V344" s="137"/>
      <c r="W344" s="137"/>
      <c r="X344" s="137"/>
      <c r="AA344" s="4"/>
      <c r="AB344" s="4"/>
      <c r="AC344" s="147"/>
      <c r="AD344" s="147"/>
      <c r="AE344" s="4"/>
      <c r="AF344" s="4"/>
      <c r="AG344" s="147"/>
      <c r="AH344" s="147"/>
      <c r="AI344" s="147"/>
      <c r="AJ344" s="147"/>
      <c r="AK344" s="147"/>
      <c r="AL344" s="147"/>
      <c r="AM344" s="147"/>
      <c r="AN344" s="147"/>
      <c r="AO344" s="147"/>
      <c r="AP344" s="147"/>
      <c r="AQ344" s="147"/>
    </row>
    <row r="345" spans="1:43" x14ac:dyDescent="0.2">
      <c r="A345" s="6"/>
      <c r="B345" s="6"/>
      <c r="C345" s="6"/>
      <c r="D345" s="11"/>
      <c r="E345" s="6"/>
      <c r="F345" s="6"/>
      <c r="G345" s="11"/>
      <c r="H345" s="6"/>
      <c r="I345" s="6"/>
      <c r="J345" s="11"/>
      <c r="K345" s="6"/>
      <c r="L345" s="6"/>
      <c r="M345" s="11"/>
      <c r="N345" s="6"/>
      <c r="O345" s="6"/>
      <c r="P345" s="139"/>
      <c r="Q345" s="7"/>
      <c r="R345" s="7"/>
      <c r="S345" s="7"/>
      <c r="T345" s="7"/>
      <c r="U345" s="137"/>
      <c r="V345" s="137"/>
      <c r="W345" s="137"/>
      <c r="X345" s="137"/>
      <c r="Y345" s="137"/>
      <c r="AE345" s="31"/>
      <c r="AF345" s="31"/>
    </row>
    <row r="346" spans="1:43" x14ac:dyDescent="0.2">
      <c r="A346" s="6"/>
      <c r="B346" s="6"/>
      <c r="C346" s="6"/>
      <c r="D346" s="11"/>
      <c r="E346" s="6"/>
      <c r="F346" s="6"/>
      <c r="G346" s="11"/>
      <c r="H346" s="6"/>
      <c r="I346" s="6"/>
      <c r="J346" s="11"/>
      <c r="K346" s="6"/>
      <c r="L346" s="6"/>
      <c r="M346" s="11"/>
      <c r="N346" s="6"/>
      <c r="O346" s="6"/>
      <c r="P346" s="139"/>
      <c r="Q346" s="7"/>
      <c r="R346" s="7"/>
      <c r="S346" s="7"/>
      <c r="T346" s="7"/>
      <c r="U346" s="137"/>
      <c r="V346" s="137"/>
      <c r="W346" s="137"/>
      <c r="X346" s="137"/>
      <c r="Y346" s="137"/>
      <c r="AE346" s="123"/>
      <c r="AF346" s="144"/>
    </row>
    <row r="347" spans="1:43" x14ac:dyDescent="0.2">
      <c r="A347" s="6"/>
      <c r="B347" s="6"/>
      <c r="C347" s="6"/>
      <c r="D347" s="11"/>
      <c r="E347" s="6"/>
      <c r="F347" s="6"/>
      <c r="G347" s="11"/>
      <c r="H347" s="6"/>
      <c r="I347" s="6"/>
      <c r="J347" s="11"/>
      <c r="K347" s="6"/>
      <c r="L347" s="6"/>
      <c r="M347" s="11"/>
      <c r="N347" s="6"/>
      <c r="O347" s="6"/>
      <c r="P347" s="139"/>
      <c r="Q347" s="7"/>
      <c r="R347" s="7"/>
      <c r="S347" s="7"/>
      <c r="T347" s="7"/>
      <c r="U347" s="137"/>
      <c r="V347" s="137"/>
      <c r="W347" s="137"/>
      <c r="X347" s="137"/>
      <c r="Y347" s="137"/>
      <c r="AE347" s="13"/>
      <c r="AF347" s="13"/>
    </row>
    <row r="348" spans="1:43" x14ac:dyDescent="0.2">
      <c r="A348" s="6"/>
      <c r="B348" s="6"/>
      <c r="C348" s="6"/>
      <c r="D348" s="11"/>
      <c r="E348" s="6"/>
      <c r="F348" s="6"/>
      <c r="G348" s="11"/>
      <c r="H348" s="6"/>
      <c r="I348" s="6"/>
      <c r="J348" s="11"/>
      <c r="K348" s="6"/>
      <c r="L348" s="6"/>
      <c r="M348" s="11"/>
      <c r="N348" s="6"/>
      <c r="O348" s="6"/>
      <c r="P348" s="139"/>
      <c r="Q348" s="7"/>
      <c r="R348" s="7"/>
      <c r="S348" s="7"/>
      <c r="T348" s="7"/>
      <c r="U348" s="137"/>
      <c r="V348" s="137"/>
      <c r="W348" s="137"/>
      <c r="X348" s="137"/>
      <c r="Y348" s="137"/>
      <c r="AE348" s="31"/>
      <c r="AF348" s="31"/>
    </row>
    <row r="349" spans="1:43" x14ac:dyDescent="0.2">
      <c r="A349" s="6"/>
      <c r="B349" s="6"/>
      <c r="C349" s="6"/>
      <c r="D349" s="11"/>
      <c r="E349" s="6"/>
      <c r="F349" s="6"/>
      <c r="G349" s="11"/>
      <c r="H349" s="6"/>
      <c r="I349" s="6"/>
      <c r="J349" s="11"/>
      <c r="K349" s="6"/>
      <c r="L349" s="6"/>
      <c r="M349" s="11"/>
      <c r="N349" s="6"/>
      <c r="O349" s="6"/>
      <c r="P349" s="139"/>
      <c r="Q349" s="7"/>
      <c r="R349" s="7"/>
      <c r="S349" s="7"/>
      <c r="T349" s="7"/>
      <c r="U349" s="137"/>
      <c r="V349" s="137"/>
      <c r="W349" s="137"/>
      <c r="X349" s="137"/>
      <c r="Y349" s="137"/>
      <c r="AE349" s="123"/>
      <c r="AF349" s="144"/>
    </row>
    <row r="350" spans="1:43" x14ac:dyDescent="0.2">
      <c r="A350" s="6"/>
      <c r="B350" s="6"/>
      <c r="C350" s="6"/>
      <c r="D350" s="11"/>
      <c r="E350" s="6"/>
      <c r="F350" s="6"/>
      <c r="G350" s="11"/>
      <c r="H350" s="6"/>
      <c r="I350" s="6"/>
      <c r="J350" s="11"/>
      <c r="K350" s="6"/>
      <c r="L350" s="6"/>
      <c r="M350" s="11"/>
      <c r="N350" s="6"/>
      <c r="O350" s="6"/>
      <c r="P350" s="139"/>
      <c r="Q350" s="7"/>
      <c r="R350" s="7"/>
      <c r="S350" s="7"/>
      <c r="T350" s="7"/>
      <c r="U350" s="137"/>
      <c r="V350" s="137"/>
      <c r="W350" s="137"/>
      <c r="X350" s="137"/>
      <c r="Y350" s="137"/>
      <c r="AE350" s="13"/>
      <c r="AF350" s="13"/>
    </row>
    <row r="351" spans="1:43" x14ac:dyDescent="0.2">
      <c r="A351" s="6"/>
      <c r="B351" s="6"/>
      <c r="C351" s="6"/>
      <c r="D351" s="11"/>
      <c r="E351" s="6"/>
      <c r="F351" s="6"/>
      <c r="G351" s="11"/>
      <c r="H351" s="6"/>
      <c r="I351" s="6"/>
      <c r="J351" s="11"/>
      <c r="K351" s="6"/>
      <c r="L351" s="6"/>
      <c r="M351" s="11"/>
      <c r="N351" s="6"/>
      <c r="O351" s="6"/>
      <c r="P351" s="139"/>
      <c r="Q351" s="7"/>
      <c r="R351" s="7"/>
      <c r="S351" s="7"/>
      <c r="T351" s="7"/>
      <c r="U351" s="137"/>
      <c r="V351" s="137"/>
      <c r="W351" s="137"/>
      <c r="X351" s="137"/>
      <c r="Y351" s="137"/>
      <c r="AE351" s="31"/>
      <c r="AF351" s="31"/>
    </row>
    <row r="352" spans="1:43" x14ac:dyDescent="0.2">
      <c r="A352" s="6"/>
      <c r="B352" s="6"/>
      <c r="C352" s="6"/>
      <c r="D352" s="11"/>
      <c r="E352" s="6"/>
      <c r="F352" s="6"/>
      <c r="G352" s="11"/>
      <c r="H352" s="6"/>
      <c r="I352" s="6"/>
      <c r="J352" s="11"/>
      <c r="K352" s="6"/>
      <c r="L352" s="6"/>
      <c r="M352" s="11"/>
      <c r="N352" s="6"/>
      <c r="O352" s="6"/>
      <c r="P352" s="139"/>
      <c r="Q352" s="7"/>
      <c r="R352" s="7"/>
      <c r="S352" s="7"/>
      <c r="T352" s="7"/>
      <c r="U352" s="137"/>
      <c r="V352" s="137"/>
      <c r="W352" s="137"/>
      <c r="X352" s="137"/>
      <c r="Y352" s="137"/>
      <c r="AE352" s="123"/>
      <c r="AF352" s="144"/>
    </row>
    <row r="353" spans="1:32" x14ac:dyDescent="0.2">
      <c r="A353" s="6"/>
      <c r="B353" s="6"/>
      <c r="C353" s="6"/>
      <c r="D353" s="11"/>
      <c r="E353" s="6"/>
      <c r="F353" s="6"/>
      <c r="G353" s="11"/>
      <c r="H353" s="6"/>
      <c r="I353" s="6"/>
      <c r="J353" s="11"/>
      <c r="K353" s="6"/>
      <c r="L353" s="6"/>
      <c r="M353" s="11"/>
      <c r="N353" s="6"/>
      <c r="O353" s="6"/>
      <c r="P353" s="139"/>
      <c r="Q353" s="7"/>
      <c r="R353" s="7"/>
      <c r="S353" s="7"/>
      <c r="T353" s="7"/>
      <c r="U353" s="137"/>
      <c r="V353" s="137"/>
      <c r="W353" s="137"/>
      <c r="X353" s="137"/>
      <c r="Y353" s="137"/>
      <c r="AE353" s="13"/>
      <c r="AF353" s="13"/>
    </row>
    <row r="354" spans="1:32" x14ac:dyDescent="0.2">
      <c r="A354" s="6"/>
      <c r="B354" s="6"/>
      <c r="C354" s="6"/>
      <c r="D354" s="11"/>
      <c r="E354" s="6"/>
      <c r="F354" s="6"/>
      <c r="G354" s="11"/>
      <c r="H354" s="6"/>
      <c r="I354" s="6"/>
      <c r="J354" s="11"/>
      <c r="K354" s="6"/>
      <c r="L354" s="6"/>
      <c r="M354" s="11"/>
      <c r="N354" s="6"/>
      <c r="O354" s="6"/>
      <c r="P354" s="139"/>
      <c r="Q354" s="7"/>
      <c r="R354" s="7"/>
      <c r="S354" s="7"/>
      <c r="T354" s="7"/>
      <c r="U354" s="137"/>
      <c r="V354" s="137"/>
      <c r="W354" s="137"/>
      <c r="X354" s="137"/>
      <c r="Y354" s="137"/>
      <c r="AE354" s="31"/>
      <c r="AF354" s="31"/>
    </row>
    <row r="355" spans="1:32" x14ac:dyDescent="0.2">
      <c r="A355" s="6"/>
      <c r="B355" s="6"/>
      <c r="C355" s="6"/>
      <c r="D355" s="11"/>
      <c r="E355" s="6"/>
      <c r="F355" s="6"/>
      <c r="G355" s="11"/>
      <c r="H355" s="6"/>
      <c r="I355" s="6"/>
      <c r="J355" s="11"/>
      <c r="K355" s="6"/>
      <c r="L355" s="6"/>
      <c r="M355" s="11"/>
      <c r="N355" s="6"/>
      <c r="O355" s="6"/>
      <c r="P355" s="139"/>
      <c r="Q355" s="7"/>
      <c r="R355" s="7"/>
      <c r="S355" s="7"/>
      <c r="T355" s="7"/>
      <c r="U355" s="137"/>
      <c r="V355" s="137"/>
      <c r="W355" s="137"/>
      <c r="X355" s="137"/>
      <c r="Y355" s="137"/>
      <c r="AE355" s="123"/>
      <c r="AF355" s="144"/>
    </row>
    <row r="356" spans="1:32" x14ac:dyDescent="0.2">
      <c r="A356" s="6"/>
      <c r="B356" s="6"/>
      <c r="C356" s="6"/>
      <c r="D356" s="11"/>
      <c r="E356" s="6"/>
      <c r="F356" s="6"/>
      <c r="G356" s="11"/>
      <c r="H356" s="6"/>
      <c r="I356" s="6"/>
      <c r="J356" s="11"/>
      <c r="K356" s="6"/>
      <c r="L356" s="6"/>
      <c r="M356" s="11"/>
      <c r="N356" s="6"/>
      <c r="O356" s="6"/>
      <c r="P356" s="139"/>
      <c r="Q356" s="7"/>
      <c r="R356" s="7"/>
      <c r="S356" s="7"/>
      <c r="T356" s="7"/>
      <c r="U356" s="137"/>
      <c r="V356" s="137"/>
      <c r="W356" s="137"/>
      <c r="X356" s="137"/>
      <c r="Y356" s="137"/>
      <c r="AE356" s="13"/>
      <c r="AF356" s="13"/>
    </row>
    <row r="357" spans="1:32" x14ac:dyDescent="0.2">
      <c r="A357" s="6"/>
      <c r="B357" s="6"/>
      <c r="C357" s="6"/>
      <c r="D357" s="11"/>
      <c r="E357" s="6"/>
      <c r="F357" s="6"/>
      <c r="G357" s="11"/>
      <c r="H357" s="6"/>
      <c r="I357" s="6"/>
      <c r="J357" s="11"/>
      <c r="K357" s="6"/>
      <c r="L357" s="6"/>
      <c r="M357" s="11"/>
      <c r="N357" s="6"/>
      <c r="O357" s="6"/>
      <c r="P357" s="139"/>
      <c r="Q357" s="7"/>
      <c r="R357" s="7"/>
      <c r="S357" s="7"/>
      <c r="T357" s="7"/>
      <c r="U357" s="137"/>
      <c r="V357" s="137"/>
      <c r="W357" s="137"/>
      <c r="X357" s="137"/>
      <c r="Y357" s="137"/>
      <c r="AE357" s="31"/>
      <c r="AF357" s="31"/>
    </row>
    <row r="358" spans="1:32" x14ac:dyDescent="0.2">
      <c r="A358" s="6"/>
      <c r="B358" s="6"/>
      <c r="C358" s="6"/>
      <c r="D358" s="11"/>
      <c r="E358" s="6"/>
      <c r="F358" s="6"/>
      <c r="G358" s="11"/>
      <c r="H358" s="6"/>
      <c r="I358" s="6"/>
      <c r="J358" s="11"/>
      <c r="K358" s="6"/>
      <c r="L358" s="6"/>
      <c r="M358" s="11"/>
      <c r="N358" s="6"/>
      <c r="O358" s="6"/>
      <c r="P358" s="139"/>
      <c r="Q358" s="7"/>
      <c r="R358" s="7"/>
      <c r="S358" s="7"/>
      <c r="T358" s="7"/>
      <c r="U358" s="137"/>
      <c r="V358" s="137"/>
      <c r="W358" s="137"/>
      <c r="X358" s="137"/>
      <c r="Y358" s="137"/>
      <c r="AE358" s="123"/>
      <c r="AF358" s="144"/>
    </row>
    <row r="359" spans="1:32" x14ac:dyDescent="0.2">
      <c r="A359" s="6"/>
      <c r="B359" s="6"/>
      <c r="C359" s="6"/>
      <c r="D359" s="11"/>
      <c r="E359" s="6"/>
      <c r="F359" s="6"/>
      <c r="G359" s="11"/>
      <c r="H359" s="6"/>
      <c r="I359" s="6"/>
      <c r="J359" s="11"/>
      <c r="K359" s="6"/>
      <c r="L359" s="6"/>
      <c r="M359" s="11"/>
      <c r="N359" s="6"/>
      <c r="O359" s="6"/>
      <c r="P359" s="139"/>
      <c r="Q359" s="7"/>
      <c r="R359" s="7"/>
      <c r="S359" s="7"/>
      <c r="T359" s="7"/>
      <c r="U359" s="137"/>
      <c r="V359" s="137"/>
      <c r="W359" s="137"/>
      <c r="X359" s="137"/>
      <c r="Y359" s="137"/>
      <c r="AE359" s="13"/>
      <c r="AF359" s="13"/>
    </row>
    <row r="360" spans="1:32" x14ac:dyDescent="0.2">
      <c r="A360" s="6"/>
      <c r="B360" s="6"/>
      <c r="C360" s="6"/>
      <c r="D360" s="11"/>
      <c r="E360" s="6"/>
      <c r="F360" s="6"/>
      <c r="G360" s="11"/>
      <c r="H360" s="6"/>
      <c r="I360" s="6"/>
      <c r="J360" s="11"/>
      <c r="K360" s="6"/>
      <c r="L360" s="6"/>
      <c r="M360" s="11"/>
      <c r="N360" s="6"/>
      <c r="O360" s="6"/>
      <c r="P360" s="139"/>
      <c r="Q360" s="7"/>
      <c r="R360" s="7"/>
      <c r="S360" s="7"/>
      <c r="T360" s="7"/>
      <c r="U360" s="137"/>
      <c r="V360" s="137"/>
      <c r="W360" s="137"/>
      <c r="X360" s="137"/>
      <c r="Y360" s="137"/>
      <c r="AE360" s="31"/>
      <c r="AF360" s="31"/>
    </row>
    <row r="361" spans="1:32" x14ac:dyDescent="0.2">
      <c r="A361" s="6"/>
      <c r="B361" s="6"/>
      <c r="C361" s="6"/>
      <c r="D361" s="11"/>
      <c r="E361" s="6"/>
      <c r="F361" s="6"/>
      <c r="G361" s="11"/>
      <c r="H361" s="6"/>
      <c r="I361" s="6"/>
      <c r="J361" s="11"/>
      <c r="K361" s="6"/>
      <c r="L361" s="6"/>
      <c r="M361" s="11"/>
      <c r="N361" s="6"/>
      <c r="O361" s="6"/>
      <c r="P361" s="139"/>
      <c r="Q361" s="7"/>
      <c r="R361" s="7"/>
      <c r="S361" s="7"/>
      <c r="T361" s="7"/>
      <c r="U361" s="137"/>
      <c r="V361" s="137"/>
      <c r="W361" s="137"/>
      <c r="X361" s="137"/>
      <c r="Y361" s="137"/>
      <c r="AE361" s="123"/>
      <c r="AF361" s="144"/>
    </row>
    <row r="362" spans="1:32" x14ac:dyDescent="0.2">
      <c r="A362" s="6"/>
      <c r="B362" s="6"/>
      <c r="C362" s="6"/>
      <c r="D362" s="11"/>
      <c r="E362" s="6"/>
      <c r="F362" s="6"/>
      <c r="G362" s="11"/>
      <c r="H362" s="6"/>
      <c r="I362" s="6"/>
      <c r="J362" s="11"/>
      <c r="K362" s="6"/>
      <c r="L362" s="6"/>
      <c r="M362" s="11"/>
      <c r="N362" s="6"/>
      <c r="O362" s="6"/>
      <c r="P362" s="139"/>
      <c r="Q362" s="7"/>
      <c r="R362" s="7"/>
      <c r="S362" s="7"/>
      <c r="T362" s="7"/>
      <c r="U362" s="137"/>
      <c r="V362" s="137"/>
      <c r="W362" s="137"/>
      <c r="X362" s="137"/>
      <c r="Y362" s="137"/>
      <c r="AE362" s="13"/>
      <c r="AF362" s="13"/>
    </row>
    <row r="363" spans="1:32" x14ac:dyDescent="0.2">
      <c r="A363" s="6"/>
      <c r="B363" s="6"/>
      <c r="C363" s="6"/>
      <c r="D363" s="11"/>
      <c r="E363" s="6"/>
      <c r="F363" s="6"/>
      <c r="G363" s="11"/>
      <c r="H363" s="6"/>
      <c r="I363" s="6"/>
      <c r="J363" s="11"/>
      <c r="K363" s="6"/>
      <c r="L363" s="6"/>
      <c r="M363" s="11"/>
      <c r="N363" s="6"/>
      <c r="O363" s="6"/>
      <c r="P363" s="139"/>
      <c r="Q363" s="7"/>
      <c r="R363" s="7"/>
      <c r="S363" s="7"/>
      <c r="T363" s="7"/>
      <c r="U363" s="137"/>
      <c r="V363" s="137"/>
      <c r="W363" s="137"/>
      <c r="X363" s="137"/>
      <c r="Y363" s="137"/>
      <c r="AE363" s="31"/>
      <c r="AF363" s="31"/>
    </row>
    <row r="364" spans="1:32" x14ac:dyDescent="0.2">
      <c r="A364" s="6"/>
      <c r="B364" s="6"/>
      <c r="C364" s="6"/>
      <c r="D364" s="11"/>
      <c r="E364" s="6"/>
      <c r="F364" s="6"/>
      <c r="G364" s="11"/>
      <c r="H364" s="6"/>
      <c r="I364" s="6"/>
      <c r="J364" s="11"/>
      <c r="K364" s="6"/>
      <c r="L364" s="6"/>
      <c r="M364" s="11"/>
      <c r="N364" s="6"/>
      <c r="O364" s="6"/>
      <c r="P364" s="139"/>
      <c r="Q364" s="7"/>
      <c r="R364" s="7"/>
      <c r="S364" s="7"/>
      <c r="T364" s="7"/>
      <c r="U364" s="137"/>
      <c r="V364" s="137"/>
      <c r="W364" s="137"/>
      <c r="X364" s="137"/>
      <c r="Y364" s="137"/>
      <c r="AE364" s="123"/>
      <c r="AF364" s="144"/>
    </row>
    <row r="365" spans="1:32" x14ac:dyDescent="0.2">
      <c r="A365" s="6"/>
      <c r="B365" s="6"/>
      <c r="C365" s="6"/>
      <c r="D365" s="11"/>
      <c r="E365" s="6"/>
      <c r="F365" s="6"/>
      <c r="G365" s="11"/>
      <c r="H365" s="6"/>
      <c r="I365" s="6"/>
      <c r="J365" s="11"/>
      <c r="K365" s="6"/>
      <c r="L365" s="6"/>
      <c r="M365" s="11"/>
      <c r="N365" s="6"/>
      <c r="O365" s="6"/>
      <c r="P365" s="139"/>
      <c r="Q365" s="7"/>
      <c r="R365" s="7"/>
      <c r="S365" s="7"/>
      <c r="T365" s="7"/>
      <c r="U365" s="137"/>
      <c r="V365" s="137"/>
      <c r="W365" s="137"/>
      <c r="X365" s="137"/>
      <c r="Y365" s="137"/>
      <c r="AE365" s="13"/>
      <c r="AF365" s="13"/>
    </row>
    <row r="366" spans="1:32" x14ac:dyDescent="0.2">
      <c r="A366" s="6"/>
      <c r="B366" s="6"/>
      <c r="C366" s="6"/>
      <c r="D366" s="11"/>
      <c r="E366" s="6"/>
      <c r="F366" s="6"/>
      <c r="G366" s="11"/>
      <c r="H366" s="6"/>
      <c r="I366" s="6"/>
      <c r="J366" s="11"/>
      <c r="K366" s="6"/>
      <c r="L366" s="6"/>
      <c r="M366" s="11"/>
      <c r="N366" s="6"/>
      <c r="O366" s="6"/>
      <c r="P366" s="139"/>
      <c r="Q366" s="7"/>
      <c r="R366" s="7"/>
      <c r="S366" s="7"/>
      <c r="T366" s="7"/>
      <c r="U366" s="137"/>
      <c r="V366" s="137"/>
      <c r="W366" s="137"/>
      <c r="X366" s="137"/>
      <c r="Y366" s="137"/>
      <c r="AE366" s="31"/>
      <c r="AF366" s="31"/>
    </row>
    <row r="367" spans="1:32" x14ac:dyDescent="0.2">
      <c r="A367" s="6"/>
      <c r="B367" s="6"/>
      <c r="C367" s="6"/>
      <c r="D367" s="11"/>
      <c r="E367" s="6"/>
      <c r="F367" s="6"/>
      <c r="G367" s="11"/>
      <c r="H367" s="6"/>
      <c r="I367" s="6"/>
      <c r="J367" s="11"/>
      <c r="K367" s="6"/>
      <c r="L367" s="6"/>
      <c r="M367" s="11"/>
      <c r="N367" s="6"/>
      <c r="O367" s="6"/>
      <c r="P367" s="139"/>
      <c r="Q367" s="7"/>
      <c r="R367" s="7"/>
      <c r="S367" s="7"/>
      <c r="T367" s="7"/>
      <c r="U367" s="137"/>
      <c r="V367" s="137"/>
      <c r="W367" s="137"/>
      <c r="X367" s="137"/>
      <c r="Y367" s="137"/>
      <c r="AE367" s="123"/>
      <c r="AF367" s="144"/>
    </row>
    <row r="368" spans="1:32" x14ac:dyDescent="0.2">
      <c r="A368" s="6"/>
      <c r="B368" s="6"/>
      <c r="C368" s="6"/>
      <c r="D368" s="11"/>
      <c r="E368" s="6"/>
      <c r="F368" s="6"/>
      <c r="G368" s="11"/>
      <c r="H368" s="6"/>
      <c r="I368" s="6"/>
      <c r="J368" s="11"/>
      <c r="K368" s="6"/>
      <c r="L368" s="6"/>
      <c r="M368" s="11"/>
      <c r="N368" s="6"/>
      <c r="O368" s="6"/>
      <c r="P368" s="139"/>
      <c r="Q368" s="7"/>
      <c r="R368" s="7"/>
      <c r="S368" s="7"/>
      <c r="T368" s="7"/>
      <c r="U368" s="137"/>
      <c r="V368" s="137"/>
      <c r="W368" s="137"/>
      <c r="X368" s="137"/>
      <c r="Y368" s="137"/>
      <c r="AE368" s="13"/>
      <c r="AF368" s="13"/>
    </row>
    <row r="369" spans="1:32" x14ac:dyDescent="0.2">
      <c r="A369" s="6"/>
      <c r="B369" s="6"/>
      <c r="C369" s="6"/>
      <c r="D369" s="11"/>
      <c r="E369" s="6"/>
      <c r="F369" s="6"/>
      <c r="G369" s="11"/>
      <c r="H369" s="6"/>
      <c r="I369" s="6"/>
      <c r="J369" s="11"/>
      <c r="K369" s="6"/>
      <c r="L369" s="6"/>
      <c r="M369" s="11"/>
      <c r="N369" s="6"/>
      <c r="O369" s="6"/>
      <c r="P369" s="139"/>
      <c r="Q369" s="7"/>
      <c r="R369" s="7"/>
      <c r="S369" s="7"/>
      <c r="T369" s="7"/>
      <c r="U369" s="137"/>
      <c r="V369" s="137"/>
      <c r="W369" s="137"/>
      <c r="X369" s="137"/>
      <c r="Y369" s="137"/>
      <c r="AE369" s="31"/>
      <c r="AF369" s="31"/>
    </row>
    <row r="370" spans="1:32" x14ac:dyDescent="0.2">
      <c r="A370" s="6"/>
      <c r="B370" s="6"/>
      <c r="C370" s="6"/>
      <c r="D370" s="11"/>
      <c r="E370" s="6"/>
      <c r="F370" s="6"/>
      <c r="G370" s="11"/>
      <c r="H370" s="6"/>
      <c r="I370" s="6"/>
      <c r="J370" s="11"/>
      <c r="K370" s="6"/>
      <c r="L370" s="6"/>
      <c r="M370" s="11"/>
      <c r="N370" s="6"/>
      <c r="O370" s="6"/>
      <c r="P370" s="139"/>
      <c r="Q370" s="7"/>
      <c r="R370" s="7"/>
      <c r="S370" s="7"/>
      <c r="T370" s="7"/>
      <c r="U370" s="137"/>
      <c r="V370" s="137"/>
      <c r="W370" s="137"/>
      <c r="X370" s="137"/>
      <c r="Y370" s="137"/>
      <c r="AE370" s="123"/>
      <c r="AF370" s="144"/>
    </row>
    <row r="371" spans="1:32" x14ac:dyDescent="0.2">
      <c r="A371" s="6"/>
      <c r="B371" s="6"/>
      <c r="C371" s="6"/>
      <c r="D371" s="11"/>
      <c r="E371" s="6"/>
      <c r="F371" s="6"/>
      <c r="G371" s="11"/>
      <c r="H371" s="6"/>
      <c r="I371" s="6"/>
      <c r="J371" s="11"/>
      <c r="K371" s="6"/>
      <c r="L371" s="6"/>
      <c r="M371" s="11"/>
      <c r="N371" s="6"/>
      <c r="O371" s="6"/>
      <c r="P371" s="139"/>
      <c r="Q371" s="7"/>
      <c r="R371" s="7"/>
      <c r="S371" s="7"/>
      <c r="T371" s="7"/>
      <c r="U371" s="137"/>
      <c r="V371" s="137"/>
      <c r="W371" s="137"/>
      <c r="X371" s="137"/>
      <c r="Y371" s="137"/>
      <c r="AE371" s="13"/>
      <c r="AF371" s="13"/>
    </row>
    <row r="372" spans="1:32" x14ac:dyDescent="0.2">
      <c r="A372" s="6"/>
      <c r="B372" s="6"/>
      <c r="C372" s="6"/>
      <c r="D372" s="11"/>
      <c r="E372" s="6"/>
      <c r="F372" s="6"/>
      <c r="G372" s="11"/>
      <c r="H372" s="6"/>
      <c r="I372" s="6"/>
      <c r="J372" s="11"/>
      <c r="K372" s="6"/>
      <c r="L372" s="6"/>
      <c r="M372" s="11"/>
      <c r="N372" s="6"/>
      <c r="O372" s="6"/>
      <c r="P372" s="139"/>
      <c r="Q372" s="7"/>
      <c r="R372" s="7"/>
      <c r="S372" s="7"/>
      <c r="T372" s="7"/>
      <c r="U372" s="137"/>
      <c r="V372" s="137"/>
      <c r="W372" s="137"/>
      <c r="X372" s="137"/>
      <c r="Y372" s="137"/>
      <c r="AE372" s="31"/>
      <c r="AF372" s="31"/>
    </row>
    <row r="373" spans="1:32" x14ac:dyDescent="0.2">
      <c r="A373" s="6"/>
      <c r="B373" s="6"/>
      <c r="C373" s="6"/>
      <c r="D373" s="11"/>
      <c r="E373" s="6"/>
      <c r="F373" s="6"/>
      <c r="G373" s="11"/>
      <c r="H373" s="6"/>
      <c r="I373" s="6"/>
      <c r="J373" s="11"/>
      <c r="K373" s="6"/>
      <c r="L373" s="6"/>
      <c r="M373" s="11"/>
      <c r="N373" s="6"/>
      <c r="O373" s="6"/>
      <c r="P373" s="139"/>
      <c r="Q373" s="7"/>
      <c r="R373" s="7"/>
      <c r="S373" s="7"/>
      <c r="T373" s="7"/>
      <c r="U373" s="137"/>
      <c r="V373" s="137"/>
      <c r="W373" s="137"/>
      <c r="X373" s="137"/>
      <c r="Y373" s="137"/>
      <c r="AE373" s="123"/>
      <c r="AF373" s="144"/>
    </row>
    <row r="374" spans="1:32" x14ac:dyDescent="0.2">
      <c r="A374" s="6"/>
      <c r="B374" s="6"/>
      <c r="C374" s="6"/>
      <c r="D374" s="11"/>
      <c r="E374" s="6"/>
      <c r="F374" s="6"/>
      <c r="G374" s="11"/>
      <c r="H374" s="6"/>
      <c r="I374" s="6"/>
      <c r="J374" s="11"/>
      <c r="K374" s="6"/>
      <c r="L374" s="6"/>
      <c r="M374" s="11"/>
      <c r="N374" s="6"/>
      <c r="O374" s="6"/>
      <c r="P374" s="139"/>
      <c r="Q374" s="7"/>
      <c r="R374" s="7"/>
      <c r="S374" s="7"/>
      <c r="T374" s="7"/>
      <c r="U374" s="137"/>
      <c r="V374" s="137"/>
      <c r="W374" s="137"/>
      <c r="X374" s="137"/>
      <c r="Y374" s="137"/>
      <c r="AE374" s="13"/>
      <c r="AF374" s="13"/>
    </row>
    <row r="375" spans="1:32" x14ac:dyDescent="0.2">
      <c r="A375" s="6"/>
      <c r="B375" s="6"/>
      <c r="C375" s="6"/>
      <c r="D375" s="11"/>
      <c r="E375" s="6"/>
      <c r="F375" s="6"/>
      <c r="G375" s="11"/>
      <c r="H375" s="6"/>
      <c r="I375" s="6"/>
      <c r="J375" s="11"/>
      <c r="K375" s="6"/>
      <c r="L375" s="6"/>
      <c r="M375" s="11"/>
      <c r="N375" s="6"/>
      <c r="O375" s="6"/>
      <c r="P375" s="139"/>
      <c r="Q375" s="7"/>
      <c r="R375" s="7"/>
      <c r="S375" s="7"/>
      <c r="T375" s="7"/>
      <c r="U375" s="137"/>
      <c r="V375" s="137"/>
      <c r="W375" s="137"/>
      <c r="X375" s="137"/>
      <c r="Y375" s="137"/>
      <c r="AE375" s="31"/>
      <c r="AF375" s="31"/>
    </row>
    <row r="376" spans="1:32" x14ac:dyDescent="0.2">
      <c r="A376" s="6"/>
      <c r="B376" s="6"/>
      <c r="C376" s="6"/>
      <c r="D376" s="11"/>
      <c r="E376" s="6"/>
      <c r="F376" s="6"/>
      <c r="G376" s="11"/>
      <c r="H376" s="6"/>
      <c r="I376" s="6"/>
      <c r="J376" s="11"/>
      <c r="K376" s="6"/>
      <c r="L376" s="6"/>
      <c r="M376" s="11"/>
      <c r="N376" s="6"/>
      <c r="O376" s="6"/>
      <c r="P376" s="139"/>
      <c r="Q376" s="7"/>
      <c r="R376" s="7"/>
      <c r="S376" s="7"/>
      <c r="T376" s="7"/>
      <c r="U376" s="137"/>
      <c r="V376" s="137"/>
      <c r="W376" s="137"/>
      <c r="X376" s="137"/>
      <c r="Y376" s="137"/>
      <c r="AE376" s="123"/>
      <c r="AF376" s="144"/>
    </row>
    <row r="377" spans="1:32" x14ac:dyDescent="0.2">
      <c r="A377" s="6"/>
      <c r="B377" s="6"/>
      <c r="C377" s="6"/>
      <c r="D377" s="11"/>
      <c r="E377" s="6"/>
      <c r="F377" s="6"/>
      <c r="G377" s="11"/>
      <c r="H377" s="6"/>
      <c r="I377" s="6"/>
      <c r="J377" s="11"/>
      <c r="K377" s="6"/>
      <c r="L377" s="6"/>
      <c r="M377" s="11"/>
      <c r="N377" s="6"/>
      <c r="O377" s="6"/>
      <c r="P377" s="139"/>
      <c r="Q377" s="7"/>
      <c r="R377" s="7"/>
      <c r="S377" s="7"/>
      <c r="T377" s="7"/>
      <c r="U377" s="137"/>
      <c r="V377" s="137"/>
      <c r="W377" s="137"/>
      <c r="X377" s="137"/>
      <c r="Y377" s="137"/>
      <c r="AE377" s="13"/>
      <c r="AF377" s="13"/>
    </row>
    <row r="378" spans="1:32" x14ac:dyDescent="0.2">
      <c r="A378" s="6"/>
      <c r="B378" s="6"/>
      <c r="C378" s="6"/>
      <c r="D378" s="11"/>
      <c r="E378" s="6"/>
      <c r="F378" s="6"/>
      <c r="G378" s="11"/>
      <c r="H378" s="6"/>
      <c r="I378" s="6"/>
      <c r="J378" s="11"/>
      <c r="K378" s="6"/>
      <c r="L378" s="6"/>
      <c r="M378" s="11"/>
      <c r="N378" s="6"/>
      <c r="O378" s="6"/>
      <c r="P378" s="139"/>
      <c r="Q378" s="7"/>
      <c r="R378" s="7"/>
      <c r="S378" s="7"/>
      <c r="T378" s="7"/>
      <c r="U378" s="137"/>
      <c r="V378" s="137"/>
      <c r="W378" s="137"/>
      <c r="X378" s="137"/>
      <c r="Y378" s="137"/>
      <c r="AE378" s="31"/>
      <c r="AF378" s="31"/>
    </row>
    <row r="379" spans="1:32" x14ac:dyDescent="0.2">
      <c r="A379" s="6"/>
      <c r="B379" s="6"/>
      <c r="C379" s="6"/>
      <c r="D379" s="11"/>
      <c r="E379" s="6"/>
      <c r="F379" s="6"/>
      <c r="G379" s="11"/>
      <c r="H379" s="6"/>
      <c r="I379" s="6"/>
      <c r="J379" s="11"/>
      <c r="K379" s="6"/>
      <c r="L379" s="6"/>
      <c r="M379" s="11"/>
      <c r="N379" s="6"/>
      <c r="O379" s="6"/>
      <c r="P379" s="139"/>
      <c r="Q379" s="7"/>
      <c r="R379" s="7"/>
      <c r="S379" s="7"/>
      <c r="T379" s="7"/>
      <c r="U379" s="137"/>
      <c r="V379" s="137"/>
      <c r="W379" s="137"/>
      <c r="X379" s="137"/>
      <c r="Y379" s="137"/>
      <c r="AE379" s="123"/>
      <c r="AF379" s="144"/>
    </row>
    <row r="380" spans="1:32" x14ac:dyDescent="0.2">
      <c r="A380" s="6"/>
      <c r="B380" s="6"/>
      <c r="C380" s="6"/>
      <c r="D380" s="11"/>
      <c r="E380" s="6"/>
      <c r="F380" s="6"/>
      <c r="G380" s="11"/>
      <c r="H380" s="6"/>
      <c r="I380" s="6"/>
      <c r="J380" s="11"/>
      <c r="K380" s="6"/>
      <c r="L380" s="6"/>
      <c r="M380" s="11"/>
      <c r="N380" s="6"/>
      <c r="O380" s="6"/>
      <c r="P380" s="139"/>
      <c r="Q380" s="7"/>
      <c r="R380" s="7"/>
      <c r="S380" s="7"/>
      <c r="T380" s="7"/>
      <c r="U380" s="137"/>
      <c r="V380" s="137"/>
      <c r="W380" s="137"/>
      <c r="X380" s="137"/>
      <c r="Y380" s="137"/>
      <c r="AE380" s="13"/>
      <c r="AF380" s="13"/>
    </row>
    <row r="381" spans="1:32" x14ac:dyDescent="0.2">
      <c r="A381" s="6"/>
      <c r="B381" s="6"/>
      <c r="C381" s="6"/>
      <c r="D381" s="11"/>
      <c r="E381" s="6"/>
      <c r="F381" s="6"/>
      <c r="G381" s="11"/>
      <c r="H381" s="6"/>
      <c r="I381" s="6"/>
      <c r="J381" s="11"/>
      <c r="K381" s="6"/>
      <c r="L381" s="6"/>
      <c r="M381" s="11"/>
      <c r="N381" s="6"/>
      <c r="O381" s="6"/>
      <c r="P381" s="139"/>
      <c r="Q381" s="7"/>
      <c r="R381" s="7"/>
      <c r="S381" s="7"/>
      <c r="T381" s="7"/>
      <c r="U381" s="137"/>
      <c r="V381" s="137"/>
      <c r="W381" s="137"/>
      <c r="X381" s="137"/>
      <c r="Y381" s="137"/>
      <c r="AE381" s="31"/>
      <c r="AF381" s="31"/>
    </row>
    <row r="382" spans="1:32" x14ac:dyDescent="0.2">
      <c r="A382" s="6"/>
      <c r="B382" s="6"/>
      <c r="C382" s="6"/>
      <c r="D382" s="11"/>
      <c r="E382" s="6"/>
      <c r="F382" s="6"/>
      <c r="G382" s="11"/>
      <c r="H382" s="6"/>
      <c r="I382" s="6"/>
      <c r="J382" s="11"/>
      <c r="K382" s="6"/>
      <c r="L382" s="6"/>
      <c r="M382" s="11"/>
      <c r="N382" s="6"/>
      <c r="O382" s="6"/>
      <c r="P382" s="139"/>
      <c r="Q382" s="7"/>
      <c r="R382" s="7"/>
      <c r="S382" s="7"/>
      <c r="T382" s="7"/>
      <c r="U382" s="137"/>
      <c r="V382" s="137"/>
      <c r="W382" s="137"/>
      <c r="X382" s="137"/>
      <c r="Y382" s="137"/>
      <c r="AE382" s="123"/>
      <c r="AF382" s="144"/>
    </row>
    <row r="383" spans="1:32" x14ac:dyDescent="0.2">
      <c r="A383" s="6"/>
      <c r="B383" s="6"/>
      <c r="C383" s="6"/>
      <c r="D383" s="11"/>
      <c r="E383" s="6"/>
      <c r="F383" s="6"/>
      <c r="G383" s="11"/>
      <c r="H383" s="6"/>
      <c r="I383" s="6"/>
      <c r="J383" s="11"/>
      <c r="K383" s="6"/>
      <c r="L383" s="6"/>
      <c r="M383" s="11"/>
      <c r="N383" s="6"/>
      <c r="O383" s="6"/>
      <c r="P383" s="139"/>
      <c r="Q383" s="7"/>
      <c r="R383" s="7"/>
      <c r="S383" s="7"/>
      <c r="T383" s="7"/>
      <c r="U383" s="137"/>
      <c r="V383" s="137"/>
      <c r="W383" s="137"/>
      <c r="X383" s="137"/>
      <c r="Y383" s="137"/>
      <c r="AE383" s="13"/>
      <c r="AF383" s="13"/>
    </row>
    <row r="384" spans="1:32" x14ac:dyDescent="0.2">
      <c r="A384" s="6"/>
      <c r="B384" s="6"/>
      <c r="C384" s="6"/>
      <c r="D384" s="11"/>
      <c r="E384" s="6"/>
      <c r="F384" s="6"/>
      <c r="G384" s="11"/>
      <c r="H384" s="6"/>
      <c r="I384" s="6"/>
      <c r="J384" s="11"/>
      <c r="K384" s="6"/>
      <c r="L384" s="6"/>
      <c r="M384" s="11"/>
      <c r="N384" s="6"/>
      <c r="O384" s="6"/>
      <c r="P384" s="139"/>
      <c r="Q384" s="7"/>
      <c r="R384" s="7"/>
      <c r="S384" s="7"/>
      <c r="T384" s="7"/>
      <c r="U384" s="137"/>
      <c r="V384" s="137"/>
      <c r="W384" s="137"/>
      <c r="X384" s="137"/>
      <c r="Y384" s="137"/>
      <c r="AE384" s="31"/>
      <c r="AF384" s="31"/>
    </row>
    <row r="385" spans="1:32" x14ac:dyDescent="0.2">
      <c r="A385" s="6"/>
      <c r="B385" s="6"/>
      <c r="C385" s="6"/>
      <c r="D385" s="11"/>
      <c r="E385" s="6"/>
      <c r="F385" s="6"/>
      <c r="G385" s="11"/>
      <c r="H385" s="6"/>
      <c r="I385" s="6"/>
      <c r="J385" s="11"/>
      <c r="K385" s="6"/>
      <c r="L385" s="6"/>
      <c r="M385" s="11"/>
      <c r="N385" s="6"/>
      <c r="O385" s="6"/>
      <c r="P385" s="139"/>
      <c r="Q385" s="7"/>
      <c r="R385" s="7"/>
      <c r="S385" s="7"/>
      <c r="T385" s="7"/>
      <c r="U385" s="137"/>
      <c r="V385" s="137"/>
      <c r="W385" s="137"/>
      <c r="X385" s="137"/>
      <c r="Y385" s="137"/>
      <c r="AE385" s="123"/>
      <c r="AF385" s="144"/>
    </row>
    <row r="386" spans="1:32" x14ac:dyDescent="0.2">
      <c r="A386" s="6"/>
      <c r="B386" s="6"/>
      <c r="C386" s="6"/>
      <c r="D386" s="11"/>
      <c r="E386" s="6"/>
      <c r="F386" s="6"/>
      <c r="G386" s="11"/>
      <c r="H386" s="6"/>
      <c r="I386" s="6"/>
      <c r="J386" s="11"/>
      <c r="K386" s="6"/>
      <c r="L386" s="6"/>
      <c r="M386" s="11"/>
      <c r="N386" s="6"/>
      <c r="O386" s="6"/>
      <c r="P386" s="139"/>
      <c r="Q386" s="7"/>
      <c r="R386" s="7"/>
      <c r="S386" s="7"/>
      <c r="T386" s="7"/>
      <c r="U386" s="137"/>
      <c r="V386" s="137"/>
      <c r="W386" s="137"/>
      <c r="X386" s="137"/>
      <c r="Y386" s="137"/>
      <c r="AE386" s="13"/>
      <c r="AF386" s="13"/>
    </row>
    <row r="387" spans="1:32" x14ac:dyDescent="0.2">
      <c r="AE387" s="31"/>
      <c r="AF387" s="31"/>
    </row>
    <row r="388" spans="1:32" x14ac:dyDescent="0.2">
      <c r="AE388" s="123"/>
      <c r="AF388" s="144"/>
    </row>
    <row r="389" spans="1:32" x14ac:dyDescent="0.2">
      <c r="AE389" s="13"/>
      <c r="AF389" s="13"/>
    </row>
    <row r="390" spans="1:32" x14ac:dyDescent="0.2">
      <c r="AE390" s="31"/>
      <c r="AF390" s="31"/>
    </row>
    <row r="391" spans="1:32" x14ac:dyDescent="0.2">
      <c r="AE391" s="123"/>
      <c r="AF391" s="144"/>
    </row>
    <row r="392" spans="1:32" x14ac:dyDescent="0.2">
      <c r="AE392" s="13"/>
      <c r="AF392" s="13"/>
    </row>
    <row r="393" spans="1:32" x14ac:dyDescent="0.2">
      <c r="AE393" s="31"/>
      <c r="AF393" s="31"/>
    </row>
    <row r="394" spans="1:32" x14ac:dyDescent="0.2">
      <c r="AE394" s="123"/>
      <c r="AF394" s="144"/>
    </row>
    <row r="395" spans="1:32" x14ac:dyDescent="0.2">
      <c r="AE395" s="13"/>
      <c r="AF395" s="13"/>
    </row>
    <row r="396" spans="1:32" x14ac:dyDescent="0.2">
      <c r="AE396" s="31"/>
      <c r="AF396" s="31"/>
    </row>
    <row r="397" spans="1:32" x14ac:dyDescent="0.2">
      <c r="AE397" s="123"/>
      <c r="AF397" s="144"/>
    </row>
    <row r="398" spans="1:32" x14ac:dyDescent="0.2">
      <c r="AE398" s="13"/>
      <c r="AF398" s="13"/>
    </row>
    <row r="399" spans="1:32" x14ac:dyDescent="0.2">
      <c r="AE399" s="31"/>
      <c r="AF399" s="31"/>
    </row>
    <row r="400" spans="1:32" x14ac:dyDescent="0.2">
      <c r="AE400" s="123"/>
      <c r="AF400" s="144"/>
    </row>
    <row r="401" spans="31:32" x14ac:dyDescent="0.2">
      <c r="AE401" s="13"/>
      <c r="AF401" s="13"/>
    </row>
    <row r="402" spans="31:32" x14ac:dyDescent="0.2">
      <c r="AE402" s="31"/>
      <c r="AF402" s="31"/>
    </row>
    <row r="403" spans="31:32" x14ac:dyDescent="0.2">
      <c r="AE403" s="123"/>
      <c r="AF403" s="144"/>
    </row>
    <row r="404" spans="31:32" x14ac:dyDescent="0.2">
      <c r="AE404" s="13"/>
      <c r="AF404" s="13"/>
    </row>
    <row r="405" spans="31:32" x14ac:dyDescent="0.2">
      <c r="AE405" s="31"/>
      <c r="AF405" s="31"/>
    </row>
    <row r="406" spans="31:32" x14ac:dyDescent="0.2">
      <c r="AE406" s="123"/>
      <c r="AF406" s="144"/>
    </row>
    <row r="407" spans="31:32" x14ac:dyDescent="0.2">
      <c r="AE407" s="13"/>
      <c r="AF407" s="13"/>
    </row>
    <row r="408" spans="31:32" x14ac:dyDescent="0.2">
      <c r="AE408" s="31"/>
      <c r="AF408" s="31"/>
    </row>
    <row r="409" spans="31:32" x14ac:dyDescent="0.2">
      <c r="AE409" s="123"/>
      <c r="AF409" s="144"/>
    </row>
    <row r="410" spans="31:32" x14ac:dyDescent="0.2">
      <c r="AE410" s="13"/>
      <c r="AF410" s="13"/>
    </row>
    <row r="411" spans="31:32" x14ac:dyDescent="0.2">
      <c r="AE411" s="31"/>
      <c r="AF411" s="31"/>
    </row>
    <row r="412" spans="31:32" x14ac:dyDescent="0.2">
      <c r="AE412" s="123"/>
      <c r="AF412" s="144"/>
    </row>
    <row r="413" spans="31:32" x14ac:dyDescent="0.2">
      <c r="AE413" s="13"/>
      <c r="AF413" s="13"/>
    </row>
    <row r="414" spans="31:32" x14ac:dyDescent="0.2">
      <c r="AE414" s="31"/>
      <c r="AF414" s="31"/>
    </row>
    <row r="415" spans="31:32" x14ac:dyDescent="0.2">
      <c r="AE415" s="123"/>
      <c r="AF415" s="144"/>
    </row>
    <row r="416" spans="31:32" x14ac:dyDescent="0.2">
      <c r="AE416" s="13"/>
      <c r="AF416" s="13"/>
    </row>
    <row r="417" spans="31:32" x14ac:dyDescent="0.2">
      <c r="AE417" s="31"/>
      <c r="AF417" s="31"/>
    </row>
    <row r="418" spans="31:32" x14ac:dyDescent="0.2">
      <c r="AE418" s="123"/>
      <c r="AF418" s="144"/>
    </row>
    <row r="419" spans="31:32" x14ac:dyDescent="0.2">
      <c r="AE419" s="13"/>
      <c r="AF419" s="13"/>
    </row>
    <row r="420" spans="31:32" x14ac:dyDescent="0.2">
      <c r="AE420" s="31"/>
      <c r="AF420" s="31"/>
    </row>
    <row r="421" spans="31:32" x14ac:dyDescent="0.2">
      <c r="AE421" s="123"/>
      <c r="AF421" s="144"/>
    </row>
    <row r="422" spans="31:32" x14ac:dyDescent="0.2">
      <c r="AE422" s="13"/>
      <c r="AF422" s="13"/>
    </row>
    <row r="423" spans="31:32" x14ac:dyDescent="0.2">
      <c r="AE423" s="31"/>
      <c r="AF423" s="31"/>
    </row>
    <row r="424" spans="31:32" x14ac:dyDescent="0.2">
      <c r="AE424" s="123"/>
      <c r="AF424" s="144"/>
    </row>
    <row r="425" spans="31:32" x14ac:dyDescent="0.2">
      <c r="AE425" s="13"/>
      <c r="AF425" s="13"/>
    </row>
    <row r="426" spans="31:32" x14ac:dyDescent="0.2">
      <c r="AE426" s="31"/>
      <c r="AF426" s="31"/>
    </row>
    <row r="427" spans="31:32" x14ac:dyDescent="0.2">
      <c r="AE427" s="31"/>
      <c r="AF427" s="31"/>
    </row>
    <row r="428" spans="31:32" x14ac:dyDescent="0.2">
      <c r="AE428" s="31"/>
      <c r="AF428" s="31"/>
    </row>
    <row r="429" spans="31:32" x14ac:dyDescent="0.2">
      <c r="AE429" s="31"/>
      <c r="AF429" s="31"/>
    </row>
    <row r="430" spans="31:32" x14ac:dyDescent="0.2">
      <c r="AE430" s="31"/>
      <c r="AF430" s="31"/>
    </row>
    <row r="431" spans="31:32" x14ac:dyDescent="0.2">
      <c r="AE431" s="31"/>
      <c r="AF431" s="31"/>
    </row>
    <row r="432" spans="31:32" x14ac:dyDescent="0.2">
      <c r="AE432" s="31"/>
      <c r="AF432" s="31"/>
    </row>
    <row r="433" spans="31:32" x14ac:dyDescent="0.2">
      <c r="AE433" s="31"/>
      <c r="AF433" s="31"/>
    </row>
    <row r="434" spans="31:32" x14ac:dyDescent="0.2">
      <c r="AE434" s="31"/>
      <c r="AF434" s="31"/>
    </row>
    <row r="435" spans="31:32" x14ac:dyDescent="0.2">
      <c r="AE435" s="31"/>
      <c r="AF435" s="31"/>
    </row>
    <row r="436" spans="31:32" x14ac:dyDescent="0.2">
      <c r="AE436" s="31"/>
      <c r="AF436" s="31"/>
    </row>
    <row r="437" spans="31:32" x14ac:dyDescent="0.2">
      <c r="AE437" s="31"/>
      <c r="AF437" s="31"/>
    </row>
    <row r="438" spans="31:32" x14ac:dyDescent="0.2">
      <c r="AE438" s="31"/>
      <c r="AF438" s="31"/>
    </row>
    <row r="439" spans="31:32" x14ac:dyDescent="0.2">
      <c r="AE439" s="31"/>
      <c r="AF439" s="31"/>
    </row>
    <row r="440" spans="31:32" x14ac:dyDescent="0.2">
      <c r="AE440" s="31"/>
      <c r="AF440" s="31"/>
    </row>
    <row r="441" spans="31:32" x14ac:dyDescent="0.2">
      <c r="AE441" s="31"/>
      <c r="AF441" s="31"/>
    </row>
    <row r="442" spans="31:32" x14ac:dyDescent="0.2">
      <c r="AE442" s="31"/>
      <c r="AF442" s="31"/>
    </row>
    <row r="443" spans="31:32" x14ac:dyDescent="0.2">
      <c r="AE443" s="31"/>
      <c r="AF443" s="31"/>
    </row>
    <row r="444" spans="31:32" x14ac:dyDescent="0.2">
      <c r="AE444" s="31"/>
      <c r="AF444" s="31"/>
    </row>
    <row r="445" spans="31:32" x14ac:dyDescent="0.2">
      <c r="AE445" s="31"/>
      <c r="AF445" s="31"/>
    </row>
    <row r="446" spans="31:32" x14ac:dyDescent="0.2">
      <c r="AE446" s="31"/>
      <c r="AF446" s="31"/>
    </row>
    <row r="447" spans="31:32" x14ac:dyDescent="0.2">
      <c r="AE447" s="31"/>
      <c r="AF447" s="31"/>
    </row>
    <row r="448" spans="31:32" x14ac:dyDescent="0.2">
      <c r="AE448" s="31"/>
      <c r="AF448" s="31"/>
    </row>
    <row r="449" spans="31:32" x14ac:dyDescent="0.2">
      <c r="AE449" s="31"/>
      <c r="AF449" s="31"/>
    </row>
    <row r="450" spans="31:32" x14ac:dyDescent="0.2">
      <c r="AE450" s="31"/>
      <c r="AF450" s="31"/>
    </row>
    <row r="451" spans="31:32" x14ac:dyDescent="0.2">
      <c r="AE451" s="31"/>
      <c r="AF451" s="31"/>
    </row>
    <row r="452" spans="31:32" x14ac:dyDescent="0.2">
      <c r="AE452" s="31"/>
      <c r="AF452" s="31"/>
    </row>
    <row r="453" spans="31:32" x14ac:dyDescent="0.2">
      <c r="AE453" s="31"/>
      <c r="AF453" s="31"/>
    </row>
    <row r="454" spans="31:32" x14ac:dyDescent="0.2">
      <c r="AE454" s="31"/>
      <c r="AF454" s="31"/>
    </row>
    <row r="455" spans="31:32" x14ac:dyDescent="0.2">
      <c r="AE455" s="31"/>
      <c r="AF455" s="31"/>
    </row>
    <row r="456" spans="31:32" x14ac:dyDescent="0.2">
      <c r="AE456" s="31"/>
      <c r="AF456" s="31"/>
    </row>
    <row r="457" spans="31:32" x14ac:dyDescent="0.2">
      <c r="AE457" s="31"/>
      <c r="AF457" s="31"/>
    </row>
    <row r="458" spans="31:32" x14ac:dyDescent="0.2">
      <c r="AE458" s="31"/>
      <c r="AF458" s="31"/>
    </row>
    <row r="459" spans="31:32" x14ac:dyDescent="0.2">
      <c r="AE459" s="31"/>
      <c r="AF459" s="31"/>
    </row>
    <row r="460" spans="31:32" x14ac:dyDescent="0.2">
      <c r="AE460" s="31"/>
      <c r="AF460" s="31"/>
    </row>
    <row r="461" spans="31:32" x14ac:dyDescent="0.2">
      <c r="AE461" s="31"/>
      <c r="AF461" s="31"/>
    </row>
    <row r="462" spans="31:32" x14ac:dyDescent="0.2">
      <c r="AE462" s="31"/>
      <c r="AF462" s="31"/>
    </row>
    <row r="463" spans="31:32" x14ac:dyDescent="0.2">
      <c r="AE463" s="31"/>
      <c r="AF463" s="31"/>
    </row>
    <row r="464" spans="31:32" x14ac:dyDescent="0.2">
      <c r="AE464" s="31"/>
      <c r="AF464" s="31"/>
    </row>
    <row r="465" spans="31:32" x14ac:dyDescent="0.2">
      <c r="AE465" s="31"/>
      <c r="AF465" s="31"/>
    </row>
    <row r="466" spans="31:32" x14ac:dyDescent="0.2">
      <c r="AE466" s="31"/>
      <c r="AF466" s="31"/>
    </row>
    <row r="467" spans="31:32" x14ac:dyDescent="0.2">
      <c r="AE467" s="31"/>
      <c r="AF467" s="31"/>
    </row>
    <row r="468" spans="31:32" x14ac:dyDescent="0.2">
      <c r="AE468" s="31"/>
      <c r="AF468" s="31"/>
    </row>
    <row r="469" spans="31:32" x14ac:dyDescent="0.2">
      <c r="AE469" s="31"/>
      <c r="AF469" s="31"/>
    </row>
  </sheetData>
  <sheetProtection algorithmName="SHA-512" hashValue="9/tdA0WgkK/WqcnwZrCONd+Zkzx7asdjjacK/8JlMh8EuNulgQ9OnCdFlNh1fXRWJcOdqySBsvA8uDgtlr5jxQ==" saltValue="6DLuzWF3ppiLVXacE+3V7w==" spinCount="100000" sheet="1" formatCells="0" formatColumns="0" formatRows="0" autoFilter="0"/>
  <sortState ref="A183:T192">
    <sortCondition descending="1" ref="A212:A222"/>
  </sortState>
  <mergeCells count="222">
    <mergeCell ref="A222:C222"/>
    <mergeCell ref="A223:C224"/>
    <mergeCell ref="A225:C225"/>
    <mergeCell ref="A226:C227"/>
    <mergeCell ref="A208:C209"/>
    <mergeCell ref="A210:C210"/>
    <mergeCell ref="A211:C212"/>
    <mergeCell ref="A213:C213"/>
    <mergeCell ref="A214:C215"/>
    <mergeCell ref="A216:C216"/>
    <mergeCell ref="A217:C218"/>
    <mergeCell ref="A219:C219"/>
    <mergeCell ref="A220:C221"/>
    <mergeCell ref="A203:C203"/>
    <mergeCell ref="D203:F203"/>
    <mergeCell ref="G203:I203"/>
    <mergeCell ref="J203:L203"/>
    <mergeCell ref="M203:O203"/>
    <mergeCell ref="P203:T203"/>
    <mergeCell ref="A204:C204"/>
    <mergeCell ref="A205:C206"/>
    <mergeCell ref="A207:C207"/>
    <mergeCell ref="A187:C188"/>
    <mergeCell ref="A189:C189"/>
    <mergeCell ref="A190:C191"/>
    <mergeCell ref="A192:C192"/>
    <mergeCell ref="A193:C194"/>
    <mergeCell ref="A195:C195"/>
    <mergeCell ref="A196:C197"/>
    <mergeCell ref="A198:C198"/>
    <mergeCell ref="A199:C200"/>
    <mergeCell ref="A174:C174"/>
    <mergeCell ref="A175:C176"/>
    <mergeCell ref="A177:C177"/>
    <mergeCell ref="A178:C179"/>
    <mergeCell ref="A180:C180"/>
    <mergeCell ref="A181:C182"/>
    <mergeCell ref="A183:C183"/>
    <mergeCell ref="A184:C185"/>
    <mergeCell ref="A186:C186"/>
    <mergeCell ref="A160:C161"/>
    <mergeCell ref="A162:C162"/>
    <mergeCell ref="A163:C164"/>
    <mergeCell ref="A165:C165"/>
    <mergeCell ref="A166:C167"/>
    <mergeCell ref="A168:C168"/>
    <mergeCell ref="A169:C170"/>
    <mergeCell ref="A171:C171"/>
    <mergeCell ref="A172:C173"/>
    <mergeCell ref="G152:I152"/>
    <mergeCell ref="J152:L152"/>
    <mergeCell ref="M152:O152"/>
    <mergeCell ref="P152:T152"/>
    <mergeCell ref="A153:C153"/>
    <mergeCell ref="A154:C155"/>
    <mergeCell ref="A156:C156"/>
    <mergeCell ref="A157:C158"/>
    <mergeCell ref="A159:C159"/>
    <mergeCell ref="A139:C140"/>
    <mergeCell ref="A141:C141"/>
    <mergeCell ref="A142:C143"/>
    <mergeCell ref="A144:C144"/>
    <mergeCell ref="A145:C146"/>
    <mergeCell ref="A147:C147"/>
    <mergeCell ref="A148:C149"/>
    <mergeCell ref="A152:C152"/>
    <mergeCell ref="D152:F152"/>
    <mergeCell ref="H322:I322"/>
    <mergeCell ref="A239:T239"/>
    <mergeCell ref="A240:T240"/>
    <mergeCell ref="A241:T241"/>
    <mergeCell ref="H302:I302"/>
    <mergeCell ref="A111:C111"/>
    <mergeCell ref="A112:C113"/>
    <mergeCell ref="A114:C114"/>
    <mergeCell ref="A115:C116"/>
    <mergeCell ref="A117:C117"/>
    <mergeCell ref="A118:C119"/>
    <mergeCell ref="A120:C120"/>
    <mergeCell ref="A121:C122"/>
    <mergeCell ref="A123:C123"/>
    <mergeCell ref="A124:C125"/>
    <mergeCell ref="A231:T231"/>
    <mergeCell ref="A232:T232"/>
    <mergeCell ref="A126:C126"/>
    <mergeCell ref="A127:C128"/>
    <mergeCell ref="A129:C129"/>
    <mergeCell ref="A130:C131"/>
    <mergeCell ref="A276:T276"/>
    <mergeCell ref="H279:I279"/>
    <mergeCell ref="H315:I315"/>
    <mergeCell ref="A8:C8"/>
    <mergeCell ref="D8:F8"/>
    <mergeCell ref="A51:C51"/>
    <mergeCell ref="D51:F51"/>
    <mergeCell ref="G51:I51"/>
    <mergeCell ref="J51:L51"/>
    <mergeCell ref="M51:O51"/>
    <mergeCell ref="P51:T51"/>
    <mergeCell ref="A15:C15"/>
    <mergeCell ref="A16:C17"/>
    <mergeCell ref="A18:C18"/>
    <mergeCell ref="A19:C20"/>
    <mergeCell ref="A21:C21"/>
    <mergeCell ref="A22:C23"/>
    <mergeCell ref="A9:C9"/>
    <mergeCell ref="A10:C11"/>
    <mergeCell ref="A12:C12"/>
    <mergeCell ref="A13:C14"/>
    <mergeCell ref="A42:C42"/>
    <mergeCell ref="A43:C44"/>
    <mergeCell ref="A45:C45"/>
    <mergeCell ref="A46:C47"/>
    <mergeCell ref="A48:C48"/>
    <mergeCell ref="A49:C50"/>
    <mergeCell ref="J101:L101"/>
    <mergeCell ref="M101:O101"/>
    <mergeCell ref="P101:T101"/>
    <mergeCell ref="A108:C108"/>
    <mergeCell ref="A109:C110"/>
    <mergeCell ref="A52:C52"/>
    <mergeCell ref="A53:C54"/>
    <mergeCell ref="A55:C55"/>
    <mergeCell ref="A56:C57"/>
    <mergeCell ref="A58:C58"/>
    <mergeCell ref="A70:C70"/>
    <mergeCell ref="A71:C72"/>
    <mergeCell ref="A61:C61"/>
    <mergeCell ref="A62:C63"/>
    <mergeCell ref="A64:C64"/>
    <mergeCell ref="A65:C66"/>
    <mergeCell ref="A67:C67"/>
    <mergeCell ref="A68:C69"/>
    <mergeCell ref="A59:C60"/>
    <mergeCell ref="A86:C87"/>
    <mergeCell ref="A97:C97"/>
    <mergeCell ref="A98:C99"/>
    <mergeCell ref="A79:C79"/>
    <mergeCell ref="A80:C81"/>
    <mergeCell ref="A24:C24"/>
    <mergeCell ref="A25:C26"/>
    <mergeCell ref="A27:C27"/>
    <mergeCell ref="A28:C29"/>
    <mergeCell ref="A30:C30"/>
    <mergeCell ref="A31:C32"/>
    <mergeCell ref="A33:C33"/>
    <mergeCell ref="A34:C35"/>
    <mergeCell ref="D101:F101"/>
    <mergeCell ref="A82:C82"/>
    <mergeCell ref="A83:C84"/>
    <mergeCell ref="A85:C85"/>
    <mergeCell ref="A73:C73"/>
    <mergeCell ref="A74:C75"/>
    <mergeCell ref="A76:C76"/>
    <mergeCell ref="A77:C78"/>
    <mergeCell ref="A101:C101"/>
    <mergeCell ref="A88:C88"/>
    <mergeCell ref="A89:C90"/>
    <mergeCell ref="A91:C91"/>
    <mergeCell ref="A92:C93"/>
    <mergeCell ref="A94:C94"/>
    <mergeCell ref="A95:C96"/>
    <mergeCell ref="A36:C36"/>
    <mergeCell ref="A37:C38"/>
    <mergeCell ref="A39:C39"/>
    <mergeCell ref="A40:C41"/>
    <mergeCell ref="G101:I101"/>
    <mergeCell ref="A102:C102"/>
    <mergeCell ref="A103:C104"/>
    <mergeCell ref="A105:C105"/>
    <mergeCell ref="A106:C107"/>
    <mergeCell ref="H314:I314"/>
    <mergeCell ref="H290:I290"/>
    <mergeCell ref="H291:I291"/>
    <mergeCell ref="H292:I292"/>
    <mergeCell ref="H293:I293"/>
    <mergeCell ref="H294:I294"/>
    <mergeCell ref="H295:I295"/>
    <mergeCell ref="H296:I296"/>
    <mergeCell ref="H297:I297"/>
    <mergeCell ref="H298:I298"/>
    <mergeCell ref="H299:I299"/>
    <mergeCell ref="A132:C132"/>
    <mergeCell ref="A133:C134"/>
    <mergeCell ref="A135:C135"/>
    <mergeCell ref="A136:C137"/>
    <mergeCell ref="A138:C138"/>
    <mergeCell ref="H316:I316"/>
    <mergeCell ref="H317:I317"/>
    <mergeCell ref="H318:I318"/>
    <mergeCell ref="H319:I319"/>
    <mergeCell ref="H320:I320"/>
    <mergeCell ref="H321:I321"/>
    <mergeCell ref="H309:I309"/>
    <mergeCell ref="H310:I310"/>
    <mergeCell ref="H311:I311"/>
    <mergeCell ref="H312:I312"/>
    <mergeCell ref="H313:I313"/>
    <mergeCell ref="U1:Z3"/>
    <mergeCell ref="U4:Z6"/>
    <mergeCell ref="H303:I303"/>
    <mergeCell ref="H304:I304"/>
    <mergeCell ref="H305:I305"/>
    <mergeCell ref="H306:I306"/>
    <mergeCell ref="H307:I307"/>
    <mergeCell ref="H308:I308"/>
    <mergeCell ref="G8:I8"/>
    <mergeCell ref="J8:L8"/>
    <mergeCell ref="U8:V8"/>
    <mergeCell ref="W8:X8"/>
    <mergeCell ref="M8:O8"/>
    <mergeCell ref="P8:T8"/>
    <mergeCell ref="H280:I280"/>
    <mergeCell ref="H281:I281"/>
    <mergeCell ref="H282:I282"/>
    <mergeCell ref="H283:I283"/>
    <mergeCell ref="H284:I284"/>
    <mergeCell ref="H285:I285"/>
    <mergeCell ref="H286:I286"/>
    <mergeCell ref="H287:I287"/>
    <mergeCell ref="H288:I288"/>
    <mergeCell ref="H289:I289"/>
  </mergeCells>
  <phoneticPr fontId="49" type="noConversion"/>
  <conditionalFormatting sqref="A304:A322">
    <cfRule type="expression" dxfId="915" priority="112">
      <formula>TRUNC(A304)</formula>
    </cfRule>
  </conditionalFormatting>
  <conditionalFormatting sqref="R54">
    <cfRule type="expression" dxfId="914" priority="103">
      <formula>TRUNC(R54)</formula>
    </cfRule>
  </conditionalFormatting>
  <conditionalFormatting sqref="P60">
    <cfRule type="expression" dxfId="913" priority="102">
      <formula>TRUNC(P60)</formula>
    </cfRule>
  </conditionalFormatting>
  <conditionalFormatting sqref="R60">
    <cfRule type="expression" dxfId="912" priority="101">
      <formula>TRUNC(R60)</formula>
    </cfRule>
  </conditionalFormatting>
  <conditionalFormatting sqref="P57">
    <cfRule type="expression" dxfId="911" priority="100">
      <formula>TRUNC(P57)</formula>
    </cfRule>
  </conditionalFormatting>
  <conditionalFormatting sqref="R57">
    <cfRule type="expression" dxfId="910" priority="99">
      <formula>TRUNC(R57)</formula>
    </cfRule>
  </conditionalFormatting>
  <conditionalFormatting sqref="P63">
    <cfRule type="expression" dxfId="909" priority="98">
      <formula>TRUNC(P63)</formula>
    </cfRule>
  </conditionalFormatting>
  <conditionalFormatting sqref="R63">
    <cfRule type="expression" dxfId="908" priority="97">
      <formula>TRUNC(R63)</formula>
    </cfRule>
  </conditionalFormatting>
  <conditionalFormatting sqref="P54">
    <cfRule type="expression" dxfId="907" priority="104">
      <formula>TRUNC(P54)</formula>
    </cfRule>
  </conditionalFormatting>
  <conditionalFormatting sqref="P66">
    <cfRule type="expression" dxfId="906" priority="96">
      <formula>TRUNC(P66)</formula>
    </cfRule>
  </conditionalFormatting>
  <conditionalFormatting sqref="R66">
    <cfRule type="expression" dxfId="905" priority="95">
      <formula>TRUNC(R66)</formula>
    </cfRule>
  </conditionalFormatting>
  <conditionalFormatting sqref="P72">
    <cfRule type="expression" dxfId="904" priority="94">
      <formula>TRUNC(P72)</formula>
    </cfRule>
  </conditionalFormatting>
  <conditionalFormatting sqref="R72">
    <cfRule type="expression" dxfId="903" priority="93">
      <formula>TRUNC(R72)</formula>
    </cfRule>
  </conditionalFormatting>
  <conditionalFormatting sqref="P69">
    <cfRule type="expression" dxfId="902" priority="92">
      <formula>TRUNC(P69)</formula>
    </cfRule>
  </conditionalFormatting>
  <conditionalFormatting sqref="R69">
    <cfRule type="expression" dxfId="901" priority="91">
      <formula>TRUNC(R69)</formula>
    </cfRule>
  </conditionalFormatting>
  <conditionalFormatting sqref="P75">
    <cfRule type="expression" dxfId="900" priority="90">
      <formula>TRUNC(P75)</formula>
    </cfRule>
  </conditionalFormatting>
  <conditionalFormatting sqref="R75">
    <cfRule type="expression" dxfId="899" priority="89">
      <formula>TRUNC(R75)</formula>
    </cfRule>
  </conditionalFormatting>
  <conditionalFormatting sqref="P11">
    <cfRule type="expression" dxfId="898" priority="60">
      <formula>TRUNC(P11)</formula>
    </cfRule>
  </conditionalFormatting>
  <conditionalFormatting sqref="R11">
    <cfRule type="expression" dxfId="897" priority="59">
      <formula>TRUNC(R11)</formula>
    </cfRule>
  </conditionalFormatting>
  <conditionalFormatting sqref="P17">
    <cfRule type="expression" dxfId="896" priority="58">
      <formula>TRUNC(P17)</formula>
    </cfRule>
  </conditionalFormatting>
  <conditionalFormatting sqref="R17">
    <cfRule type="expression" dxfId="895" priority="57">
      <formula>TRUNC(R17)</formula>
    </cfRule>
  </conditionalFormatting>
  <conditionalFormatting sqref="P14">
    <cfRule type="expression" dxfId="894" priority="56">
      <formula>TRUNC(P14)</formula>
    </cfRule>
  </conditionalFormatting>
  <conditionalFormatting sqref="R14">
    <cfRule type="expression" dxfId="893" priority="55">
      <formula>TRUNC(R14)</formula>
    </cfRule>
  </conditionalFormatting>
  <conditionalFormatting sqref="P20">
    <cfRule type="expression" dxfId="892" priority="54">
      <formula>TRUNC(P20)</formula>
    </cfRule>
  </conditionalFormatting>
  <conditionalFormatting sqref="R20">
    <cfRule type="expression" dxfId="891" priority="53">
      <formula>TRUNC(R20)</formula>
    </cfRule>
  </conditionalFormatting>
  <conditionalFormatting sqref="P23">
    <cfRule type="expression" dxfId="890" priority="52">
      <formula>TRUNC(P23)</formula>
    </cfRule>
  </conditionalFormatting>
  <conditionalFormatting sqref="R23">
    <cfRule type="expression" dxfId="889" priority="51">
      <formula>TRUNC(R23)</formula>
    </cfRule>
  </conditionalFormatting>
  <conditionalFormatting sqref="P29">
    <cfRule type="expression" dxfId="888" priority="50">
      <formula>TRUNC(P29)</formula>
    </cfRule>
  </conditionalFormatting>
  <conditionalFormatting sqref="R29">
    <cfRule type="expression" dxfId="887" priority="49">
      <formula>TRUNC(R29)</formula>
    </cfRule>
  </conditionalFormatting>
  <conditionalFormatting sqref="P32">
    <cfRule type="expression" dxfId="886" priority="46">
      <formula>TRUNC(P32)</formula>
    </cfRule>
  </conditionalFormatting>
  <conditionalFormatting sqref="R32">
    <cfRule type="expression" dxfId="885" priority="45">
      <formula>TRUNC(R32)</formula>
    </cfRule>
  </conditionalFormatting>
  <conditionalFormatting sqref="P38">
    <cfRule type="expression" dxfId="884" priority="42">
      <formula>TRUNC(P38)</formula>
    </cfRule>
  </conditionalFormatting>
  <conditionalFormatting sqref="R38">
    <cfRule type="expression" dxfId="883" priority="41">
      <formula>TRUNC(R38)</formula>
    </cfRule>
  </conditionalFormatting>
  <conditionalFormatting sqref="P41">
    <cfRule type="expression" dxfId="882" priority="40">
      <formula>TRUNC(P41)</formula>
    </cfRule>
  </conditionalFormatting>
  <conditionalFormatting sqref="R41">
    <cfRule type="expression" dxfId="881" priority="39">
      <formula>TRUNC(R41)</formula>
    </cfRule>
  </conditionalFormatting>
  <conditionalFormatting sqref="P47">
    <cfRule type="expression" dxfId="880" priority="38">
      <formula>TRUNC(P47)</formula>
    </cfRule>
  </conditionalFormatting>
  <conditionalFormatting sqref="R47">
    <cfRule type="expression" dxfId="879" priority="37">
      <formula>TRUNC(R47)</formula>
    </cfRule>
  </conditionalFormatting>
  <conditionalFormatting sqref="P44">
    <cfRule type="expression" dxfId="878" priority="36">
      <formula>TRUNC(P44)</formula>
    </cfRule>
  </conditionalFormatting>
  <conditionalFormatting sqref="R44">
    <cfRule type="expression" dxfId="877" priority="35">
      <formula>TRUNC(R44)</formula>
    </cfRule>
  </conditionalFormatting>
  <conditionalFormatting sqref="P50">
    <cfRule type="expression" dxfId="876" priority="34">
      <formula>TRUNC(P50)</formula>
    </cfRule>
  </conditionalFormatting>
  <conditionalFormatting sqref="P26">
    <cfRule type="expression" dxfId="875" priority="48">
      <formula>TRUNC(P26)</formula>
    </cfRule>
  </conditionalFormatting>
  <conditionalFormatting sqref="R26">
    <cfRule type="expression" dxfId="874" priority="47">
      <formula>TRUNC(R26)</formula>
    </cfRule>
  </conditionalFormatting>
  <conditionalFormatting sqref="P35">
    <cfRule type="expression" dxfId="873" priority="44">
      <formula>TRUNC(P35)</formula>
    </cfRule>
  </conditionalFormatting>
  <conditionalFormatting sqref="R35">
    <cfRule type="expression" dxfId="872" priority="43">
      <formula>TRUNC(R35)</formula>
    </cfRule>
  </conditionalFormatting>
  <conditionalFormatting sqref="R50">
    <cfRule type="expression" dxfId="871" priority="33">
      <formula>TRUNC(R50)</formula>
    </cfRule>
  </conditionalFormatting>
  <conditionalFormatting sqref="K303:L321 A303:A321">
    <cfRule type="expression" dxfId="870" priority="27">
      <formula>TRUNC(A303)</formula>
    </cfRule>
  </conditionalFormatting>
  <conditionalFormatting sqref="P78 P84 P90">
    <cfRule type="expression" dxfId="869" priority="26">
      <formula>TRUNC(P78)</formula>
    </cfRule>
  </conditionalFormatting>
  <conditionalFormatting sqref="R78 R84 R90">
    <cfRule type="expression" dxfId="868" priority="25">
      <formula>TRUNC(R78)</formula>
    </cfRule>
  </conditionalFormatting>
  <conditionalFormatting sqref="P81 P87">
    <cfRule type="expression" dxfId="867" priority="24">
      <formula>TRUNC(P81)</formula>
    </cfRule>
  </conditionalFormatting>
  <conditionalFormatting sqref="R81 R87">
    <cfRule type="expression" dxfId="866" priority="23">
      <formula>TRUNC(R81)</formula>
    </cfRule>
  </conditionalFormatting>
  <conditionalFormatting sqref="P96">
    <cfRule type="expression" dxfId="865" priority="18">
      <formula>TRUNC(P96)</formula>
    </cfRule>
  </conditionalFormatting>
  <conditionalFormatting sqref="R96">
    <cfRule type="expression" dxfId="864" priority="17">
      <formula>TRUNC(R96)</formula>
    </cfRule>
  </conditionalFormatting>
  <conditionalFormatting sqref="P93 P99">
    <cfRule type="expression" dxfId="863" priority="16">
      <formula>TRUNC(P93)</formula>
    </cfRule>
  </conditionalFormatting>
  <conditionalFormatting sqref="R93 R99">
    <cfRule type="expression" dxfId="862" priority="15">
      <formula>TRUNC(R93)</formula>
    </cfRule>
  </conditionalFormatting>
  <conditionalFormatting sqref="P104 P110 P116 P122 P128 P134 P140 P146">
    <cfRule type="expression" dxfId="861" priority="14">
      <formula>TRUNC(P104)</formula>
    </cfRule>
  </conditionalFormatting>
  <conditionalFormatting sqref="R104 R110 R116 R122 R128 R134 R140 R146">
    <cfRule type="expression" dxfId="860" priority="13">
      <formula>TRUNC(R104)</formula>
    </cfRule>
  </conditionalFormatting>
  <conditionalFormatting sqref="P107 P113 P119 P125 P131 P137 P143 P149">
    <cfRule type="expression" dxfId="859" priority="12">
      <formula>TRUNC(P107)</formula>
    </cfRule>
  </conditionalFormatting>
  <conditionalFormatting sqref="R107 R113 R119 R125 R131 R137 R143 R149">
    <cfRule type="expression" dxfId="858" priority="11">
      <formula>TRUNC(R107)</formula>
    </cfRule>
  </conditionalFormatting>
  <conditionalFormatting sqref="A281:A299">
    <cfRule type="expression" dxfId="857" priority="10">
      <formula>TRUNC(A281)</formula>
    </cfRule>
  </conditionalFormatting>
  <conditionalFormatting sqref="A280:A299">
    <cfRule type="expression" dxfId="856" priority="9">
      <formula>TRUNC(A280)</formula>
    </cfRule>
  </conditionalFormatting>
  <conditionalFormatting sqref="P155 P161 P167 P173 P179 P185 P191 P197">
    <cfRule type="expression" dxfId="855" priority="8">
      <formula>TRUNC(P155)</formula>
    </cfRule>
  </conditionalFormatting>
  <conditionalFormatting sqref="R155 R161 R167 R173 R179 R185 R191 R197">
    <cfRule type="expression" dxfId="854" priority="7">
      <formula>TRUNC(R155)</formula>
    </cfRule>
  </conditionalFormatting>
  <conditionalFormatting sqref="P158 P164 P170 P176 P182 P188 P194 P200:P201">
    <cfRule type="expression" dxfId="853" priority="6">
      <formula>TRUNC(P158)</formula>
    </cfRule>
  </conditionalFormatting>
  <conditionalFormatting sqref="R158 R164 R170 R176 R182 R188 R194 R200:R201">
    <cfRule type="expression" dxfId="852" priority="5">
      <formula>TRUNC(R158)</formula>
    </cfRule>
  </conditionalFormatting>
  <conditionalFormatting sqref="P206 P212 P218 P224">
    <cfRule type="expression" dxfId="851" priority="4">
      <formula>TRUNC(P206)</formula>
    </cfRule>
  </conditionalFormatting>
  <conditionalFormatting sqref="R206 R212 R218 R224">
    <cfRule type="expression" dxfId="850" priority="3">
      <formula>TRUNC(R206)</formula>
    </cfRule>
  </conditionalFormatting>
  <conditionalFormatting sqref="P209 P215 P221 P227">
    <cfRule type="expression" dxfId="849" priority="2">
      <formula>TRUNC(P209)</formula>
    </cfRule>
  </conditionalFormatting>
  <conditionalFormatting sqref="R209 R215 R221 R227">
    <cfRule type="expression" dxfId="848" priority="1">
      <formula>TRUNC(R209)</formula>
    </cfRule>
  </conditionalFormatting>
  <dataValidations count="2">
    <dataValidation type="list" allowBlank="1" showInputMessage="1" showErrorMessage="1" sqref="AB232:AB233" xr:uid="{00000000-0002-0000-0200-000000000000}">
      <formula1>$AC$232:$AC$233</formula1>
    </dataValidation>
    <dataValidation type="list" allowBlank="1" showInputMessage="1" showErrorMessage="1" errorTitle="School" error="Enter team number to see roster names." sqref="C303:C321 C280:C299" xr:uid="{00000000-0002-0000-0200-000001000000}">
      <formula1>INDIRECT(VLOOKUP(H280,TeamRecord,2,FALSE))</formula1>
    </dataValidation>
  </dataValidations>
  <pageMargins left="0.25" right="0.25" top="0.75" bottom="0.75" header="0" footer="0"/>
  <pageSetup scale="60" fitToHeight="0" orientation="portrait" r:id="rId1"/>
  <rowBreaks count="2" manualBreakCount="2">
    <brk id="50" max="16383" man="1"/>
    <brk id="100" max="16383" man="1"/>
  </rowBreaks>
  <ignoredErrors>
    <ignoredError sqref="H266 B266" formula="1"/>
  </ignoredErrors>
  <drawing r:id="rId2"/>
  <tableParts count="1">
    <tablePart r:id="rId3"/>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R426"/>
  <sheetViews>
    <sheetView showGridLines="0" zoomScale="115" zoomScaleNormal="115" zoomScaleSheetLayoutView="100" zoomScalePageLayoutView="150" workbookViewId="0">
      <pane ySplit="2" topLeftCell="A318" activePane="bottomLeft" state="frozen"/>
      <selection activeCell="I30" sqref="I30"/>
      <selection pane="bottomLeft" activeCell="I331" sqref="I331"/>
    </sheetView>
  </sheetViews>
  <sheetFormatPr defaultColWidth="8.85546875" defaultRowHeight="12.75" x14ac:dyDescent="0.2"/>
  <cols>
    <col min="1" max="1" width="6.85546875" style="24" customWidth="1"/>
    <col min="2" max="2" width="7.42578125" style="240" customWidth="1"/>
    <col min="3" max="3" width="4.85546875" style="273" customWidth="1"/>
    <col min="4" max="4" width="5.42578125" style="274" customWidth="1"/>
    <col min="5" max="5" width="4.85546875" style="274" customWidth="1"/>
    <col min="6" max="6" width="5.85546875" style="72" customWidth="1"/>
    <col min="7" max="7" width="9.85546875" style="24" customWidth="1"/>
    <col min="8" max="8" width="6.85546875" style="6" customWidth="1"/>
    <col min="9" max="9" width="3.140625" style="240" customWidth="1"/>
    <col min="10" max="10" width="3" style="31" hidden="1" customWidth="1"/>
    <col min="11" max="11" width="8" style="32" hidden="1" customWidth="1"/>
    <col min="12" max="12" width="8.140625" style="32" hidden="1" customWidth="1"/>
    <col min="13" max="14" width="6.7109375" style="32" hidden="1" customWidth="1"/>
    <col min="15" max="17" width="8.42578125" style="32" hidden="1" customWidth="1"/>
    <col min="18" max="18" width="4.7109375" style="31" hidden="1" customWidth="1"/>
    <col min="19" max="19" width="13.140625" style="31" hidden="1" customWidth="1"/>
    <col min="20" max="20" width="14.28515625" style="31" hidden="1" customWidth="1"/>
    <col min="21" max="21" width="32.140625" style="31" hidden="1" customWidth="1"/>
    <col min="22" max="22" width="8.85546875" style="31" hidden="1" customWidth="1"/>
    <col min="23" max="23" width="29.28515625" style="31" hidden="1" customWidth="1"/>
    <col min="24" max="24" width="8.5703125" style="31" hidden="1" customWidth="1"/>
    <col min="25" max="26" width="4.5703125" style="31" hidden="1" customWidth="1"/>
    <col min="27" max="27" width="7" style="31" hidden="1" customWidth="1"/>
    <col min="28" max="28" width="5" style="31" hidden="1" customWidth="1"/>
    <col min="29" max="29" width="5.140625" style="31" hidden="1" customWidth="1"/>
    <col min="30" max="30" width="7" style="359" hidden="1" customWidth="1"/>
    <col min="31" max="31" width="8" style="31" hidden="1" customWidth="1"/>
    <col min="32" max="32" width="6" style="31" hidden="1" customWidth="1"/>
    <col min="33" max="33" width="14.28515625" style="31" hidden="1" customWidth="1"/>
    <col min="34" max="34" width="12.7109375" style="31" hidden="1" customWidth="1"/>
    <col min="35" max="35" width="2.85546875" style="31" hidden="1" customWidth="1"/>
    <col min="36" max="36" width="2.140625" style="31" hidden="1" customWidth="1"/>
    <col min="37" max="37" width="12.7109375" style="31" hidden="1" customWidth="1"/>
    <col min="38" max="38" width="10.42578125" style="31" hidden="1" customWidth="1"/>
    <col min="39" max="39" width="8.7109375" style="31" hidden="1" customWidth="1"/>
    <col min="40" max="40" width="9.5703125" style="31" hidden="1" customWidth="1"/>
    <col min="41" max="41" width="11" style="31" hidden="1" customWidth="1"/>
    <col min="42" max="42" width="9.85546875" style="31" hidden="1" customWidth="1"/>
    <col min="43" max="43" width="2.28515625" style="31" hidden="1" customWidth="1"/>
    <col min="44" max="44" width="9.140625" style="31" bestFit="1" customWidth="1"/>
    <col min="45" max="16384" width="8.85546875" style="31"/>
  </cols>
  <sheetData>
    <row r="1" spans="1:42" ht="12.75" customHeight="1" thickTop="1" x14ac:dyDescent="0.2">
      <c r="A1" s="58" t="s">
        <v>59</v>
      </c>
      <c r="H1" s="454" t="s">
        <v>52</v>
      </c>
      <c r="I1" s="456" t="s">
        <v>31</v>
      </c>
      <c r="R1" s="32" t="s">
        <v>47</v>
      </c>
      <c r="AM1" s="31" t="s">
        <v>224</v>
      </c>
      <c r="AN1" s="31" t="s">
        <v>225</v>
      </c>
      <c r="AO1" s="31" t="s">
        <v>226</v>
      </c>
    </row>
    <row r="2" spans="1:42" ht="15.75" thickBot="1" x14ac:dyDescent="0.3">
      <c r="A2" s="59" t="s">
        <v>45</v>
      </c>
      <c r="B2" s="241" t="s">
        <v>46</v>
      </c>
      <c r="D2" s="275" t="s">
        <v>60</v>
      </c>
      <c r="E2" s="275"/>
      <c r="F2" s="73"/>
      <c r="H2" s="455"/>
      <c r="I2" s="457"/>
      <c r="K2" s="80" t="s">
        <v>56</v>
      </c>
      <c r="L2" s="80" t="s">
        <v>57</v>
      </c>
      <c r="M2" s="80" t="s">
        <v>33</v>
      </c>
      <c r="N2" s="80" t="s">
        <v>47</v>
      </c>
      <c r="O2" s="80" t="s">
        <v>53</v>
      </c>
      <c r="P2" s="80" t="s">
        <v>54</v>
      </c>
      <c r="Q2" s="80" t="s">
        <v>55</v>
      </c>
      <c r="R2" s="32" t="s">
        <v>33</v>
      </c>
      <c r="S2" s="57"/>
      <c r="T2" s="57"/>
      <c r="U2" s="21" t="s">
        <v>70</v>
      </c>
      <c r="V2" s="21"/>
      <c r="X2" s="22" t="s">
        <v>29</v>
      </c>
      <c r="Y2" s="22" t="s">
        <v>137</v>
      </c>
      <c r="Z2" s="22" t="s">
        <v>35</v>
      </c>
      <c r="AA2" s="22" t="s">
        <v>137</v>
      </c>
      <c r="AB2" s="22" t="s">
        <v>36</v>
      </c>
      <c r="AC2" s="22" t="s">
        <v>31</v>
      </c>
      <c r="AD2" s="360" t="s">
        <v>201</v>
      </c>
      <c r="AE2" s="94"/>
      <c r="AF2" s="96" t="s">
        <v>161</v>
      </c>
      <c r="AG2" s="96" t="s">
        <v>69</v>
      </c>
      <c r="AH2" s="96" t="s">
        <v>71</v>
      </c>
      <c r="AI2" s="57"/>
      <c r="AJ2" s="94"/>
      <c r="AK2" s="97" t="s">
        <v>27</v>
      </c>
      <c r="AL2" s="57" t="str">
        <f>Bids+1&amp;"th Place"</f>
        <v>6th Place</v>
      </c>
      <c r="AM2" s="57">
        <f>SUM(AM3:AM42)-Bids</f>
        <v>3</v>
      </c>
      <c r="AN2" s="57">
        <f>SUM(AN3:AN42)-Bids</f>
        <v>0</v>
      </c>
      <c r="AO2" s="19">
        <f>IF(Level="Regional",$AM$2,IF(Level="ORC",$AN$2,IF(Level="NCT",5,IF(HM&gt;0,HM,0))))</f>
        <v>3</v>
      </c>
      <c r="AP2" s="57"/>
    </row>
    <row r="3" spans="1:42" ht="15" thickTop="1" x14ac:dyDescent="0.3">
      <c r="A3" s="60" t="str">
        <f>IF(Teams&gt;=2, "1", "Hide")</f>
        <v>1</v>
      </c>
      <c r="B3" s="384">
        <v>501</v>
      </c>
      <c r="C3" s="276" t="s">
        <v>220</v>
      </c>
      <c r="D3" s="384">
        <v>1029</v>
      </c>
      <c r="E3" s="276" t="s">
        <v>221</v>
      </c>
      <c r="F3" s="74">
        <v>1001</v>
      </c>
      <c r="G3" s="67" t="s">
        <v>49</v>
      </c>
      <c r="H3" s="25" t="s">
        <v>72</v>
      </c>
      <c r="I3" s="242">
        <v>0</v>
      </c>
      <c r="J3" s="101"/>
      <c r="K3" s="362">
        <f>RANK(M3,$M$3:$M$37,1)</f>
        <v>1</v>
      </c>
      <c r="L3" s="363">
        <f>RANK(N3,$N$3:$N$37,1)</f>
        <v>1</v>
      </c>
      <c r="M3" s="364">
        <f>IF(ISBLANK('Ballot Entry'!D3),9999,'Ballot Entry'!D3)</f>
        <v>1029</v>
      </c>
      <c r="N3" s="364">
        <f>IF(ISBLANK('Ballot Entry'!F3),9999,'Ballot Entry'!F3)</f>
        <v>1001</v>
      </c>
      <c r="O3" s="363">
        <f>IF('Ballot Entry'!H3="p",'Ballot Entry'!I3,'Ballot Entry'!I3*-1)</f>
        <v>0</v>
      </c>
      <c r="P3" s="363">
        <f>IF('Ballot Entry'!H4="p",'Ballot Entry'!I4,'Ballot Entry'!I4*-1)</f>
        <v>-4</v>
      </c>
      <c r="Q3" s="365">
        <f>IF('Ballot Entry'!H5="p",'Ballot Entry'!I5,'Ballot Entry'!I5*-1)</f>
        <v>0</v>
      </c>
      <c r="R3" s="57" t="s">
        <v>72</v>
      </c>
      <c r="S3" s="57"/>
      <c r="T3" s="149">
        <f>IF(U3&gt;=1770,201,(((X3*10)+IF(Y3&lt;&gt;0,1,0))*10000000000)+(((Z3*10)+IF(AA3&lt;&gt;0,1,0))*10000000)+((AB3*10)*1000)+(AC3+200))</f>
        <v>402100645202</v>
      </c>
      <c r="U3" s="98">
        <f>'Tournament Info'!C15</f>
        <v>1001</v>
      </c>
      <c r="V3" s="32" t="s">
        <v>94</v>
      </c>
      <c r="W3" s="99" t="str">
        <f>'Tournament Info'!B15</f>
        <v>Virginia</v>
      </c>
      <c r="X3" s="148">
        <f>'Tab Summary'!P9+('Tab Summary'!T9/2)</f>
        <v>4</v>
      </c>
      <c r="Y3" s="31">
        <f>'Tab Summary'!Y9</f>
        <v>0</v>
      </c>
      <c r="Z3" s="148">
        <f>'Tab Summary'!P11</f>
        <v>21</v>
      </c>
      <c r="AA3" s="31">
        <f>'Tab Summary'!Y10</f>
        <v>0</v>
      </c>
      <c r="AB3" s="148">
        <f>'Tab Summary'!R11</f>
        <v>64.5</v>
      </c>
      <c r="AC3" s="23">
        <f>'Tab Summary'!T11</f>
        <v>2</v>
      </c>
      <c r="AD3" s="360">
        <f>'Tab Summary'!Y10</f>
        <v>0</v>
      </c>
      <c r="AF3" s="95">
        <v>1</v>
      </c>
      <c r="AG3" s="149">
        <f>LARGE(Sort,AF3)</f>
        <v>751350705248</v>
      </c>
      <c r="AH3" s="95">
        <f>MATCH(AG3,'Ballot Entry'!$T$3:$T$72,0)</f>
        <v>16</v>
      </c>
      <c r="AI3" s="57"/>
      <c r="AJ3" s="57"/>
      <c r="AK3" s="57">
        <f>IF(U3&lt;1770,COUNTIF('Tab Summary'!D10:L10,"W")+COUNTIF('Tab Summary'!D10:L10,"T")/2,0)</f>
        <v>4</v>
      </c>
      <c r="AL3" s="57">
        <f>LARGE(Round3Rank,Bids+1)</f>
        <v>4</v>
      </c>
      <c r="AM3" s="57">
        <f t="shared" ref="AM3:AM13" si="0">IF(X3&gt;=4.5,1,0)</f>
        <v>0</v>
      </c>
      <c r="AN3" s="57">
        <f t="shared" ref="AN3:AN42" si="1">IF(X3&gt;=LARGE($X$3:$X$42,Bids),1,0)</f>
        <v>0</v>
      </c>
      <c r="AO3" s="57"/>
      <c r="AP3" s="57"/>
    </row>
    <row r="4" spans="1:42" x14ac:dyDescent="0.2">
      <c r="A4" s="61" t="str">
        <f>IF(Teams&gt;=2, "1", "Hide")</f>
        <v>1</v>
      </c>
      <c r="G4" s="68" t="s">
        <v>50</v>
      </c>
      <c r="H4" s="26" t="s">
        <v>47</v>
      </c>
      <c r="I4" s="243">
        <v>4</v>
      </c>
      <c r="J4" s="101"/>
      <c r="K4" s="366">
        <f t="shared" ref="K4:K37" si="2">RANK(M4,$M$3:$M$37,1)</f>
        <v>4</v>
      </c>
      <c r="L4" s="367">
        <f t="shared" ref="L4:L37" si="3">RANK(N4,$N$3:$N$37,1)</f>
        <v>3</v>
      </c>
      <c r="M4" s="368">
        <f>IF(ISBLANK('Ballot Entry'!D6),9999,'Ballot Entry'!D6)</f>
        <v>1268</v>
      </c>
      <c r="N4" s="368">
        <f>IF(ISBLANK('Ballot Entry'!F6),9999,'Ballot Entry'!F6)</f>
        <v>1078</v>
      </c>
      <c r="O4" s="367">
        <f>IF('Ballot Entry'!H6="p",'Ballot Entry'!I6,'Ballot Entry'!I6*-1)</f>
        <v>-10</v>
      </c>
      <c r="P4" s="367">
        <f>IF('Ballot Entry'!H7="p",'Ballot Entry'!I7,'Ballot Entry'!I7*-1)</f>
        <v>-7</v>
      </c>
      <c r="Q4" s="369">
        <f>IF('Ballot Entry'!H8="p",'Ballot Entry'!I8,'Ballot Entry'!I8*-1)</f>
        <v>0</v>
      </c>
      <c r="R4" s="57"/>
      <c r="S4" s="57"/>
      <c r="T4" s="149">
        <f t="shared" ref="T4:T25" si="4">IF(U4&gt;=1770,201,(((X4*10)+IF(Y4&lt;&gt;0,1,0))*10000000000)+(((Z4*10)+IF(AA4&lt;&gt;0,1,0))*10000000)+((AB4*10)*1000)+(AC4+200))</f>
        <v>451650680213</v>
      </c>
      <c r="U4" s="98">
        <f>'Tournament Info'!C16</f>
        <v>1029</v>
      </c>
      <c r="V4" s="32" t="s">
        <v>95</v>
      </c>
      <c r="W4" s="99" t="str">
        <f>'Tournament Info'!B16</f>
        <v>Cornell</v>
      </c>
      <c r="X4" s="148">
        <f>'Tab Summary'!P12+('Tab Summary'!T12/2)</f>
        <v>4.5</v>
      </c>
      <c r="Y4" s="31">
        <f>'Tab Summary'!Y12</f>
        <v>0</v>
      </c>
      <c r="Z4" s="148">
        <f>'Tab Summary'!P14</f>
        <v>16.5</v>
      </c>
      <c r="AA4" s="31">
        <f>'Tab Summary'!Y13</f>
        <v>0</v>
      </c>
      <c r="AB4" s="148">
        <f>'Tab Summary'!R14</f>
        <v>68</v>
      </c>
      <c r="AC4" s="20">
        <f>'Tab Summary'!T14</f>
        <v>13</v>
      </c>
      <c r="AD4" s="360">
        <f>'Tab Summary'!Y13</f>
        <v>0</v>
      </c>
      <c r="AF4" s="95">
        <v>2</v>
      </c>
      <c r="AG4" s="149">
        <f>LARGE(Sort,AF4)</f>
        <v>651750660218</v>
      </c>
      <c r="AH4" s="95">
        <f>MATCH(AG4,'Ballot Entry'!$T$3:$T$72,0)</f>
        <v>17</v>
      </c>
      <c r="AI4" s="57"/>
      <c r="AJ4" s="57"/>
      <c r="AK4" s="57">
        <f>IF(U4&lt;1770,COUNTIF('Tab Summary'!D13:L13,"W")+COUNTIF('Tab Summary'!D13:L13,"T")/2,0)</f>
        <v>4.5</v>
      </c>
      <c r="AL4" s="57"/>
      <c r="AM4" s="57">
        <f t="shared" si="0"/>
        <v>1</v>
      </c>
      <c r="AN4" s="57">
        <f t="shared" si="1"/>
        <v>0</v>
      </c>
      <c r="AO4" s="57"/>
      <c r="AP4" s="57"/>
    </row>
    <row r="5" spans="1:42" ht="13.5" thickBot="1" x14ac:dyDescent="0.25">
      <c r="A5" s="61" t="str">
        <f>IF(Teams&gt;=2, IF(Ballots = 3, "1", "Hide"), "Hide")</f>
        <v>Hide</v>
      </c>
      <c r="B5" s="386"/>
      <c r="C5" s="277"/>
      <c r="D5" s="278"/>
      <c r="E5" s="278"/>
      <c r="F5" s="75"/>
      <c r="G5" s="68" t="s">
        <v>51</v>
      </c>
      <c r="H5" s="27"/>
      <c r="I5" s="244"/>
      <c r="J5" s="101"/>
      <c r="K5" s="366">
        <f t="shared" si="2"/>
        <v>7</v>
      </c>
      <c r="L5" s="367">
        <f t="shared" si="3"/>
        <v>5</v>
      </c>
      <c r="M5" s="368">
        <f>IF(ISBLANK('Ballot Entry'!D9),9999,'Ballot Entry'!D9)</f>
        <v>1506</v>
      </c>
      <c r="N5" s="368">
        <f>IF(ISBLANK('Ballot Entry'!F9),9999,'Ballot Entry'!F9)</f>
        <v>1224</v>
      </c>
      <c r="O5" s="367">
        <f>IF('Ballot Entry'!H9="p",'Ballot Entry'!I9,'Ballot Entry'!I9*-1)</f>
        <v>14</v>
      </c>
      <c r="P5" s="367">
        <f>IF('Ballot Entry'!H10="p",'Ballot Entry'!I10,'Ballot Entry'!I10*-1)</f>
        <v>15</v>
      </c>
      <c r="Q5" s="369">
        <f>IF('Ballot Entry'!H11="p",'Ballot Entry'!I11,'Ballot Entry'!I11*-1)</f>
        <v>0</v>
      </c>
      <c r="R5" s="57"/>
      <c r="S5" s="57"/>
      <c r="T5" s="149">
        <f t="shared" si="4"/>
        <v>101600540126</v>
      </c>
      <c r="U5" s="98">
        <f>'Tournament Info'!C17</f>
        <v>1051</v>
      </c>
      <c r="V5" s="32" t="s">
        <v>96</v>
      </c>
      <c r="W5" s="99" t="str">
        <f>'Tournament Info'!B17</f>
        <v>Haverford</v>
      </c>
      <c r="X5" s="148">
        <f>'Tab Summary'!P15+('Tab Summary'!T15/2)</f>
        <v>1</v>
      </c>
      <c r="Y5" s="31">
        <f>'Tab Summary'!Y15</f>
        <v>0</v>
      </c>
      <c r="Z5" s="148">
        <f>'Tab Summary'!P17</f>
        <v>16</v>
      </c>
      <c r="AA5" s="31">
        <f>'Tab Summary'!Y16</f>
        <v>0</v>
      </c>
      <c r="AB5" s="148">
        <f>'Tab Summary'!R17</f>
        <v>54</v>
      </c>
      <c r="AC5" s="20">
        <f>'Tab Summary'!T17</f>
        <v>-74</v>
      </c>
      <c r="AD5" s="360">
        <f>'Tab Summary'!Y16</f>
        <v>0</v>
      </c>
      <c r="AF5" s="95">
        <v>3</v>
      </c>
      <c r="AG5" s="149">
        <f>LARGE(Sort,AF5)</f>
        <v>602000715240</v>
      </c>
      <c r="AH5" s="95">
        <f>MATCH(AG5,'Ballot Entry'!$T$3:$T$72,0)</f>
        <v>13</v>
      </c>
      <c r="AI5" s="57"/>
      <c r="AJ5" s="57"/>
      <c r="AK5" s="57">
        <f>IF(U5&lt;1770,COUNTIF('Tab Summary'!D16:L16,"W")+COUNTIF('Tab Summary'!D16:L16,"T")/2,0)</f>
        <v>1</v>
      </c>
      <c r="AL5" s="57"/>
      <c r="AM5" s="57">
        <f t="shared" si="0"/>
        <v>0</v>
      </c>
      <c r="AN5" s="57">
        <f t="shared" si="1"/>
        <v>0</v>
      </c>
    </row>
    <row r="6" spans="1:42" ht="15" thickTop="1" x14ac:dyDescent="0.3">
      <c r="A6" s="62" t="str">
        <f>IF(Teams&gt;=4, "1", "Hide")</f>
        <v>1</v>
      </c>
      <c r="B6" s="387">
        <v>502</v>
      </c>
      <c r="C6" s="279" t="s">
        <v>220</v>
      </c>
      <c r="D6" s="280">
        <v>1268</v>
      </c>
      <c r="E6" s="279" t="s">
        <v>221</v>
      </c>
      <c r="F6" s="76">
        <v>1078</v>
      </c>
      <c r="G6" s="69" t="s">
        <v>49</v>
      </c>
      <c r="H6" s="28" t="s">
        <v>47</v>
      </c>
      <c r="I6" s="245">
        <v>10</v>
      </c>
      <c r="K6" s="366">
        <f t="shared" si="2"/>
        <v>5</v>
      </c>
      <c r="L6" s="367">
        <f t="shared" si="3"/>
        <v>8</v>
      </c>
      <c r="M6" s="368">
        <f>IF(ISBLANK('Ballot Entry'!D12),9999,'Ballot Entry'!D12)</f>
        <v>1410</v>
      </c>
      <c r="N6" s="368">
        <f>IF(ISBLANK('Ballot Entry'!F12),9999,'Ballot Entry'!F12)</f>
        <v>1616</v>
      </c>
      <c r="O6" s="367">
        <f>IF('Ballot Entry'!H12="p",'Ballot Entry'!I12,'Ballot Entry'!I12*-1)</f>
        <v>-3</v>
      </c>
      <c r="P6" s="367">
        <f>IF('Ballot Entry'!H13="p",'Ballot Entry'!I13,'Ballot Entry'!I13*-1)</f>
        <v>-4</v>
      </c>
      <c r="Q6" s="369">
        <f>IF('Ballot Entry'!H14="p",'Ballot Entry'!I14,'Ballot Entry'!I14*-1)</f>
        <v>0</v>
      </c>
      <c r="R6" s="57"/>
      <c r="S6" s="57"/>
      <c r="T6" s="149">
        <f t="shared" si="4"/>
        <v>451900690215</v>
      </c>
      <c r="U6" s="98">
        <f>'Tournament Info'!C18</f>
        <v>1078</v>
      </c>
      <c r="V6" s="32" t="s">
        <v>97</v>
      </c>
      <c r="W6" s="99" t="str">
        <f>'Tournament Info'!B18</f>
        <v>Rhodes</v>
      </c>
      <c r="X6" s="148">
        <f>'Tab Summary'!P18+('Tab Summary'!T18/2)</f>
        <v>4.5</v>
      </c>
      <c r="Y6" s="31">
        <f>'Tab Summary'!Y18</f>
        <v>0</v>
      </c>
      <c r="Z6" s="148">
        <f>'Tab Summary'!P20</f>
        <v>19</v>
      </c>
      <c r="AA6" s="31">
        <f>'Tab Summary'!Y19</f>
        <v>0</v>
      </c>
      <c r="AB6" s="148">
        <f>'Tab Summary'!R20</f>
        <v>69</v>
      </c>
      <c r="AC6" s="20">
        <f>'Tab Summary'!T20</f>
        <v>15</v>
      </c>
      <c r="AD6" s="360">
        <f>'Tab Summary'!Y19</f>
        <v>0</v>
      </c>
      <c r="AF6" s="95">
        <v>4</v>
      </c>
      <c r="AG6" s="149">
        <f>LARGE(Sort,AF6)</f>
        <v>501450655251</v>
      </c>
      <c r="AH6" s="95">
        <f>MATCH(AG6,'Ballot Entry'!$T$3:$T$72,0)</f>
        <v>9</v>
      </c>
      <c r="AI6" s="57"/>
      <c r="AJ6" s="57"/>
      <c r="AK6" s="57">
        <f>IF(U6&lt;1770,COUNTIF('Tab Summary'!D19:L19,"W")+COUNTIF('Tab Summary'!D19:L19,"T")/2,0)</f>
        <v>3.5</v>
      </c>
      <c r="AL6" s="57"/>
      <c r="AM6" s="57">
        <f t="shared" si="0"/>
        <v>1</v>
      </c>
      <c r="AN6" s="57">
        <f t="shared" si="1"/>
        <v>0</v>
      </c>
      <c r="AO6" s="57"/>
    </row>
    <row r="7" spans="1:42" x14ac:dyDescent="0.2">
      <c r="A7" s="63" t="str">
        <f>IF(Teams&gt;=4, "1", "Hide")</f>
        <v>1</v>
      </c>
      <c r="B7" s="386"/>
      <c r="G7" s="68" t="s">
        <v>50</v>
      </c>
      <c r="H7" s="29" t="s">
        <v>47</v>
      </c>
      <c r="I7" s="246">
        <v>7</v>
      </c>
      <c r="K7" s="366">
        <f t="shared" si="2"/>
        <v>8</v>
      </c>
      <c r="L7" s="367">
        <f t="shared" si="3"/>
        <v>7</v>
      </c>
      <c r="M7" s="368">
        <f>IF(ISBLANK('Ballot Entry'!D15),9999,'Ballot Entry'!D15)</f>
        <v>1557</v>
      </c>
      <c r="N7" s="368">
        <f>IF(ISBLANK('Ballot Entry'!F15),9999,'Ballot Entry'!F15)</f>
        <v>1517</v>
      </c>
      <c r="O7" s="367">
        <f>IF('Ballot Entry'!H15="p",'Ballot Entry'!I15,'Ballot Entry'!I15*-1)</f>
        <v>-1</v>
      </c>
      <c r="P7" s="367">
        <f>IF('Ballot Entry'!H16="p",'Ballot Entry'!I16,'Ballot Entry'!I16*-1)</f>
        <v>5</v>
      </c>
      <c r="Q7" s="369">
        <f>IF('Ballot Entry'!H17="p",'Ballot Entry'!I17,'Ballot Entry'!I17*-1)</f>
        <v>0</v>
      </c>
      <c r="R7" s="57"/>
      <c r="S7" s="57"/>
      <c r="T7" s="149">
        <f t="shared" si="4"/>
        <v>251200590191</v>
      </c>
      <c r="U7" s="98">
        <f>'Tournament Info'!C19</f>
        <v>1217</v>
      </c>
      <c r="V7" s="32" t="s">
        <v>98</v>
      </c>
      <c r="W7" s="99" t="str">
        <f>'Tournament Info'!B19</f>
        <v>Northwood</v>
      </c>
      <c r="X7" s="148">
        <f>'Tab Summary'!P21+('Tab Summary'!T21/2)</f>
        <v>2.5</v>
      </c>
      <c r="Y7" s="31">
        <f>'Tab Summary'!Y21</f>
        <v>0</v>
      </c>
      <c r="Z7" s="148">
        <f>'Tab Summary'!P23</f>
        <v>12</v>
      </c>
      <c r="AA7" s="31">
        <f>'Tab Summary'!Y22</f>
        <v>0</v>
      </c>
      <c r="AB7" s="148">
        <f>'Tab Summary'!R23</f>
        <v>59</v>
      </c>
      <c r="AC7" s="20">
        <f>'Tab Summary'!T23</f>
        <v>-9</v>
      </c>
      <c r="AD7" s="360">
        <f>'Tab Summary'!Y22</f>
        <v>0</v>
      </c>
      <c r="AF7" s="95">
        <v>5</v>
      </c>
      <c r="AG7" s="149">
        <f t="shared" ref="AG7:AG38" si="5">LARGE(Sort,AF7)</f>
        <v>501400645187</v>
      </c>
      <c r="AH7" s="95">
        <f>MATCH(AG7,'Ballot Entry'!$T$3:$T$72,0)</f>
        <v>6</v>
      </c>
      <c r="AI7" s="57"/>
      <c r="AJ7" s="57"/>
      <c r="AK7" s="57">
        <f>IF(U7&lt;1770,COUNTIF('Tab Summary'!D22:L22,"W")+COUNTIF('Tab Summary'!D22:L22,"T")/2,0)</f>
        <v>0.5</v>
      </c>
      <c r="AL7" s="57"/>
      <c r="AM7" s="57">
        <f t="shared" si="0"/>
        <v>0</v>
      </c>
      <c r="AN7" s="57">
        <f t="shared" si="1"/>
        <v>0</v>
      </c>
      <c r="AO7" s="57"/>
    </row>
    <row r="8" spans="1:42" ht="13.5" thickBot="1" x14ac:dyDescent="0.25">
      <c r="A8" s="64" t="str">
        <f>IF(Teams&gt;=4, IF(Ballots = 3, "1", "Hide"), "Hide")</f>
        <v>Hide</v>
      </c>
      <c r="B8" s="388"/>
      <c r="C8" s="281"/>
      <c r="D8" s="282"/>
      <c r="E8" s="282"/>
      <c r="F8" s="77"/>
      <c r="G8" s="70" t="s">
        <v>51</v>
      </c>
      <c r="H8" s="30"/>
      <c r="I8" s="247"/>
      <c r="K8" s="366">
        <f t="shared" si="2"/>
        <v>3</v>
      </c>
      <c r="L8" s="367">
        <f t="shared" si="3"/>
        <v>9</v>
      </c>
      <c r="M8" s="368">
        <f>IF(ISBLANK('Ballot Entry'!D18),9999,'Ballot Entry'!D18)</f>
        <v>1262</v>
      </c>
      <c r="N8" s="368">
        <f>IF(ISBLANK('Ballot Entry'!F18),9999,'Ballot Entry'!F18)</f>
        <v>1693</v>
      </c>
      <c r="O8" s="367">
        <f>IF('Ballot Entry'!H18="p",'Ballot Entry'!I18,'Ballot Entry'!I18*-1)</f>
        <v>2</v>
      </c>
      <c r="P8" s="367">
        <f>IF('Ballot Entry'!H19="p",'Ballot Entry'!I19,'Ballot Entry'!I19*-1)</f>
        <v>13</v>
      </c>
      <c r="Q8" s="369">
        <f>IF('Ballot Entry'!H20="p",'Ballot Entry'!I20,'Ballot Entry'!I20*-1)</f>
        <v>0</v>
      </c>
      <c r="R8" s="57"/>
      <c r="S8" s="57"/>
      <c r="T8" s="149">
        <f t="shared" si="4"/>
        <v>501400645187</v>
      </c>
      <c r="U8" s="98">
        <f>'Tournament Info'!C20</f>
        <v>1224</v>
      </c>
      <c r="V8" s="32" t="s">
        <v>99</v>
      </c>
      <c r="W8" s="99" t="str">
        <f>'Tournament Info'!B20</f>
        <v>Michigan</v>
      </c>
      <c r="X8" s="148">
        <f>'Tab Summary'!P24+('Tab Summary'!T24/2)</f>
        <v>5</v>
      </c>
      <c r="Y8" s="31">
        <f>'Tab Summary'!Y24</f>
        <v>0</v>
      </c>
      <c r="Z8" s="148">
        <f>'Tab Summary'!P26</f>
        <v>14</v>
      </c>
      <c r="AA8" s="31">
        <f>'Tab Summary'!Y25</f>
        <v>0</v>
      </c>
      <c r="AB8" s="148">
        <f>'Tab Summary'!R26</f>
        <v>64.5</v>
      </c>
      <c r="AC8" s="20">
        <f>'Tab Summary'!T26</f>
        <v>-13</v>
      </c>
      <c r="AD8" s="360">
        <f>'Tab Summary'!Y25</f>
        <v>0</v>
      </c>
      <c r="AF8" s="95">
        <v>6</v>
      </c>
      <c r="AG8" s="149">
        <f t="shared" si="5"/>
        <v>451900690215</v>
      </c>
      <c r="AH8" s="95">
        <f>MATCH(AG8,'Ballot Entry'!$T$3:$T$72,0)</f>
        <v>4</v>
      </c>
      <c r="AI8" s="57"/>
      <c r="AJ8" s="57"/>
      <c r="AK8" s="57">
        <f>IF(U8&lt;1770,COUNTIF('Tab Summary'!D25:L25,"W")+COUNTIF('Tab Summary'!D25:L25,"T")/2,0)</f>
        <v>3</v>
      </c>
      <c r="AL8" s="57"/>
      <c r="AM8" s="57">
        <f t="shared" si="0"/>
        <v>1</v>
      </c>
      <c r="AN8" s="57">
        <f t="shared" si="1"/>
        <v>1</v>
      </c>
      <c r="AO8" s="57"/>
      <c r="AP8" s="57"/>
    </row>
    <row r="9" spans="1:42" ht="15" thickTop="1" x14ac:dyDescent="0.3">
      <c r="A9" s="60" t="str">
        <f>IF(Teams&gt;=6, "1", "Hide")</f>
        <v>1</v>
      </c>
      <c r="B9" s="384">
        <v>503</v>
      </c>
      <c r="C9" s="276" t="s">
        <v>220</v>
      </c>
      <c r="D9" s="384">
        <v>1506</v>
      </c>
      <c r="E9" s="276" t="s">
        <v>221</v>
      </c>
      <c r="F9" s="74">
        <v>1224</v>
      </c>
      <c r="G9" s="67" t="s">
        <v>49</v>
      </c>
      <c r="H9" s="25" t="s">
        <v>33</v>
      </c>
      <c r="I9" s="242">
        <v>14</v>
      </c>
      <c r="K9" s="366">
        <f t="shared" si="2"/>
        <v>2</v>
      </c>
      <c r="L9" s="367">
        <f t="shared" si="3"/>
        <v>4</v>
      </c>
      <c r="M9" s="368">
        <f>IF(ISBLANK('Ballot Entry'!D21),9999,'Ballot Entry'!D21)</f>
        <v>1258</v>
      </c>
      <c r="N9" s="368">
        <f>IF(ISBLANK('Ballot Entry'!F21),9999,'Ballot Entry'!F21)</f>
        <v>1217</v>
      </c>
      <c r="O9" s="367">
        <f>IF('Ballot Entry'!H21="p",'Ballot Entry'!I21,'Ballot Entry'!I21*-1)</f>
        <v>6</v>
      </c>
      <c r="P9" s="367">
        <f>IF('Ballot Entry'!H22="p",'Ballot Entry'!I22,'Ballot Entry'!I22*-1)</f>
        <v>7</v>
      </c>
      <c r="Q9" s="369">
        <f>IF('Ballot Entry'!H23="p",'Ballot Entry'!I23,'Ballot Entry'!I23*-1)</f>
        <v>0</v>
      </c>
      <c r="R9" s="57"/>
      <c r="S9" s="57"/>
      <c r="T9" s="149">
        <f t="shared" si="4"/>
        <v>301450660196</v>
      </c>
      <c r="U9" s="98">
        <f>'Tournament Info'!C21</f>
        <v>1258</v>
      </c>
      <c r="V9" s="32" t="s">
        <v>100</v>
      </c>
      <c r="W9" s="99" t="str">
        <f>'Tournament Info'!B21</f>
        <v>UC Berkeley</v>
      </c>
      <c r="X9" s="148">
        <f>'Tab Summary'!P27+('Tab Summary'!T27/2)</f>
        <v>3</v>
      </c>
      <c r="Y9" s="31">
        <f>'Tab Summary'!Y27</f>
        <v>0</v>
      </c>
      <c r="Z9" s="148">
        <f>'Tab Summary'!P29</f>
        <v>14.5</v>
      </c>
      <c r="AA9" s="31">
        <f>'Tab Summary'!Y28</f>
        <v>0</v>
      </c>
      <c r="AB9" s="148">
        <f>'Tab Summary'!R29</f>
        <v>66</v>
      </c>
      <c r="AC9" s="20">
        <f>'Tab Summary'!T29</f>
        <v>-4</v>
      </c>
      <c r="AD9" s="360">
        <f>'Tab Summary'!Y28</f>
        <v>0</v>
      </c>
      <c r="AF9" s="95">
        <v>7</v>
      </c>
      <c r="AG9" s="149">
        <f t="shared" si="5"/>
        <v>451700630190</v>
      </c>
      <c r="AH9" s="95">
        <f>MATCH(AG9,'Ballot Entry'!$T$3:$T$72,0)</f>
        <v>14</v>
      </c>
      <c r="AI9" s="57"/>
      <c r="AJ9" s="57"/>
      <c r="AK9" s="57">
        <f>IF(U9&lt;1770,COUNTIF('Tab Summary'!D28:L28,"W")+COUNTIF('Tab Summary'!D28:L28,"T")/2,0)</f>
        <v>2</v>
      </c>
      <c r="AL9" s="57"/>
      <c r="AM9" s="57">
        <f t="shared" si="0"/>
        <v>0</v>
      </c>
      <c r="AN9" s="57">
        <f t="shared" si="1"/>
        <v>0</v>
      </c>
      <c r="AO9" s="57"/>
    </row>
    <row r="10" spans="1:42" x14ac:dyDescent="0.2">
      <c r="A10" s="61" t="str">
        <f>IF(Teams&gt;=6, "1", "Hide")</f>
        <v>1</v>
      </c>
      <c r="G10" s="68" t="s">
        <v>50</v>
      </c>
      <c r="H10" s="26" t="s">
        <v>33</v>
      </c>
      <c r="I10" s="243">
        <v>15</v>
      </c>
      <c r="K10" s="366">
        <f t="shared" ref="K10:K31" si="6">RANK(M10,$M$3:$M$37,1)</f>
        <v>6</v>
      </c>
      <c r="L10" s="367">
        <f t="shared" si="3"/>
        <v>2</v>
      </c>
      <c r="M10" s="368">
        <f>IF(ISBLANK('Ballot Entry'!D24),9999,'Ballot Entry'!D24)</f>
        <v>1489</v>
      </c>
      <c r="N10" s="368">
        <f>IF(ISBLANK('Ballot Entry'!F24),9999,'Ballot Entry'!F24)</f>
        <v>1051</v>
      </c>
      <c r="O10" s="367">
        <f>IF('Ballot Entry'!H24="p",'Ballot Entry'!I24,'Ballot Entry'!I24*-1)</f>
        <v>2</v>
      </c>
      <c r="P10" s="367">
        <f>IF('Ballot Entry'!H25="p",'Ballot Entry'!I25,'Ballot Entry'!I25*-1)</f>
        <v>-4</v>
      </c>
      <c r="Q10" s="369">
        <f>IF('Ballot Entry'!H26="p",'Ballot Entry'!I26,'Ballot Entry'!I26*-1)</f>
        <v>0</v>
      </c>
      <c r="R10" s="57"/>
      <c r="S10" s="57"/>
      <c r="T10" s="149">
        <f t="shared" si="4"/>
        <v>351750690197</v>
      </c>
      <c r="U10" s="98">
        <f>'Tournament Info'!C22</f>
        <v>1262</v>
      </c>
      <c r="V10" s="32" t="s">
        <v>101</v>
      </c>
      <c r="W10" s="99" t="str">
        <f>'Tournament Info'!B22</f>
        <v>Tufts</v>
      </c>
      <c r="X10" s="148">
        <f>'Tab Summary'!P30+('Tab Summary'!T30/2)</f>
        <v>3.5</v>
      </c>
      <c r="Y10" s="31">
        <f>'Tab Summary'!Y30</f>
        <v>0</v>
      </c>
      <c r="Z10" s="148">
        <f>'Tab Summary'!P32</f>
        <v>17.5</v>
      </c>
      <c r="AA10" s="31">
        <f>'Tab Summary'!Y31</f>
        <v>0</v>
      </c>
      <c r="AB10" s="148">
        <f>'Tab Summary'!R32</f>
        <v>69</v>
      </c>
      <c r="AC10" s="20">
        <f>'Tab Summary'!T32</f>
        <v>-3</v>
      </c>
      <c r="AD10" s="360">
        <f>'Tab Summary'!Y31</f>
        <v>0</v>
      </c>
      <c r="AF10" s="95">
        <v>8</v>
      </c>
      <c r="AG10" s="149">
        <f t="shared" si="5"/>
        <v>451650680213</v>
      </c>
      <c r="AH10" s="95">
        <f>MATCH(AG10,'Ballot Entry'!$T$3:$T$72,0)</f>
        <v>2</v>
      </c>
      <c r="AI10" s="57"/>
      <c r="AJ10" s="57"/>
      <c r="AK10" s="57">
        <f>IF(U10&lt;1770,COUNTIF('Tab Summary'!D31:L31,"W")+COUNTIF('Tab Summary'!D31:L31,"T")/2,0)</f>
        <v>2.5</v>
      </c>
      <c r="AL10" s="57"/>
      <c r="AM10" s="57">
        <f t="shared" si="0"/>
        <v>0</v>
      </c>
      <c r="AN10" s="57">
        <f t="shared" si="1"/>
        <v>0</v>
      </c>
      <c r="AO10" s="57"/>
    </row>
    <row r="11" spans="1:42" ht="13.5" thickBot="1" x14ac:dyDescent="0.25">
      <c r="A11" s="61" t="str">
        <f>IF(Teams&gt;=6, IF(Ballots = 3, "1", "Hide"), "Hide")</f>
        <v>Hide</v>
      </c>
      <c r="B11" s="386"/>
      <c r="C11" s="277"/>
      <c r="D11" s="278"/>
      <c r="E11" s="278"/>
      <c r="F11" s="75"/>
      <c r="G11" s="68" t="s">
        <v>51</v>
      </c>
      <c r="H11" s="27"/>
      <c r="I11" s="244"/>
      <c r="K11" s="366">
        <f t="shared" si="6"/>
        <v>9</v>
      </c>
      <c r="L11" s="367">
        <f t="shared" si="3"/>
        <v>6</v>
      </c>
      <c r="M11" s="368">
        <f>IF(ISBLANK('Ballot Entry'!D27),9999,'Ballot Entry'!D27)</f>
        <v>1577</v>
      </c>
      <c r="N11" s="368">
        <f>IF(ISBLANK('Ballot Entry'!F27),9999,'Ballot Entry'!F27)</f>
        <v>1492</v>
      </c>
      <c r="O11" s="367">
        <f>IF('Ballot Entry'!H27="p",'Ballot Entry'!I27,'Ballot Entry'!I27*-1)</f>
        <v>3</v>
      </c>
      <c r="P11" s="367">
        <f>IF('Ballot Entry'!H28="p",'Ballot Entry'!I28,'Ballot Entry'!I28*-1)</f>
        <v>7</v>
      </c>
      <c r="Q11" s="369">
        <f>IF('Ballot Entry'!H29="p",'Ballot Entry'!I29,'Ballot Entry'!I29*-1)</f>
        <v>0</v>
      </c>
      <c r="R11" s="57"/>
      <c r="S11" s="57"/>
      <c r="T11" s="149">
        <f t="shared" si="4"/>
        <v>501450655251</v>
      </c>
      <c r="U11" s="98">
        <f>'Tournament Info'!C23</f>
        <v>1268</v>
      </c>
      <c r="V11" s="32" t="s">
        <v>102</v>
      </c>
      <c r="W11" s="99" t="str">
        <f>'Tournament Info'!B23</f>
        <v>Columbia</v>
      </c>
      <c r="X11" s="148">
        <f>'Tab Summary'!P33+('Tab Summary'!T33/2)</f>
        <v>5</v>
      </c>
      <c r="Y11" s="31">
        <f>'Tab Summary'!Y33</f>
        <v>0</v>
      </c>
      <c r="Z11" s="148">
        <f>'Tab Summary'!P35</f>
        <v>14.5</v>
      </c>
      <c r="AA11" s="31">
        <f>'Tab Summary'!Y34</f>
        <v>0</v>
      </c>
      <c r="AB11" s="148">
        <f>'Tab Summary'!R35</f>
        <v>65.5</v>
      </c>
      <c r="AC11" s="20">
        <f>'Tab Summary'!T35</f>
        <v>51</v>
      </c>
      <c r="AD11" s="360">
        <f>'Tab Summary'!Y34</f>
        <v>0</v>
      </c>
      <c r="AF11" s="95">
        <v>9</v>
      </c>
      <c r="AG11" s="149">
        <f t="shared" si="5"/>
        <v>402100645202</v>
      </c>
      <c r="AH11" s="95">
        <f>MATCH(AG11,'Ballot Entry'!$T$3:$T$72,0)</f>
        <v>1</v>
      </c>
      <c r="AI11" s="57"/>
      <c r="AJ11" s="57"/>
      <c r="AK11" s="57">
        <f>IF(U11&lt;1770,COUNTIF('Tab Summary'!D34:L34,"W")+COUNTIF('Tab Summary'!D34:L34,"T")/2,0)</f>
        <v>3</v>
      </c>
      <c r="AL11" s="57"/>
      <c r="AM11" s="57">
        <f t="shared" si="0"/>
        <v>1</v>
      </c>
      <c r="AN11" s="57">
        <f t="shared" si="1"/>
        <v>1</v>
      </c>
      <c r="AO11" s="57"/>
    </row>
    <row r="12" spans="1:42" ht="15" thickTop="1" x14ac:dyDescent="0.3">
      <c r="A12" s="62" t="str">
        <f>IF(Teams&gt;=8, "1", "Hide")</f>
        <v>1</v>
      </c>
      <c r="B12" s="387">
        <v>504</v>
      </c>
      <c r="C12" s="279" t="s">
        <v>220</v>
      </c>
      <c r="D12" s="280">
        <v>1410</v>
      </c>
      <c r="E12" s="279" t="s">
        <v>221</v>
      </c>
      <c r="F12" s="76">
        <v>1616</v>
      </c>
      <c r="G12" s="69" t="s">
        <v>49</v>
      </c>
      <c r="H12" s="28" t="s">
        <v>47</v>
      </c>
      <c r="I12" s="245">
        <v>3</v>
      </c>
      <c r="K12" s="366">
        <f t="shared" si="6"/>
        <v>10</v>
      </c>
      <c r="L12" s="367">
        <f t="shared" si="3"/>
        <v>10</v>
      </c>
      <c r="M12" s="368">
        <f>IF(ISBLANK('Ballot Entry'!D30),9999,'Ballot Entry'!D30)</f>
        <v>9999</v>
      </c>
      <c r="N12" s="368">
        <f>IF(ISBLANK('Ballot Entry'!F30),9999,'Ballot Entry'!F30)</f>
        <v>9999</v>
      </c>
      <c r="O12" s="367">
        <f>IF('Ballot Entry'!H30="p",'Ballot Entry'!I30,'Ballot Entry'!I30*-1)</f>
        <v>0</v>
      </c>
      <c r="P12" s="367">
        <f>IF('Ballot Entry'!H31="p",'Ballot Entry'!I31,'Ballot Entry'!I31*-1)</f>
        <v>0</v>
      </c>
      <c r="Q12" s="369">
        <f>IF('Ballot Entry'!H32="p",'Ballot Entry'!I32,'Ballot Entry'!I32*-1)</f>
        <v>0</v>
      </c>
      <c r="R12" s="57"/>
      <c r="S12" s="57"/>
      <c r="T12" s="149">
        <f t="shared" si="4"/>
        <v>351200595211</v>
      </c>
      <c r="U12" s="98">
        <f>'Tournament Info'!C24</f>
        <v>1410</v>
      </c>
      <c r="V12" s="32" t="s">
        <v>103</v>
      </c>
      <c r="W12" s="99" t="str">
        <f>'Tournament Info'!B24</f>
        <v>Ohio State</v>
      </c>
      <c r="X12" s="148">
        <f>'Tab Summary'!P36+('Tab Summary'!T36/2)</f>
        <v>3.5</v>
      </c>
      <c r="Y12" s="31">
        <f>'Tab Summary'!Y36</f>
        <v>0</v>
      </c>
      <c r="Z12" s="148">
        <f>'Tab Summary'!P38</f>
        <v>12</v>
      </c>
      <c r="AA12" s="31">
        <f>'Tab Summary'!Y37</f>
        <v>0</v>
      </c>
      <c r="AB12" s="148">
        <f>'Tab Summary'!R38</f>
        <v>59.5</v>
      </c>
      <c r="AC12" s="20">
        <f>'Tab Summary'!T38</f>
        <v>11</v>
      </c>
      <c r="AD12" s="360">
        <f>'Tab Summary'!Y37</f>
        <v>0</v>
      </c>
      <c r="AF12" s="95">
        <v>10</v>
      </c>
      <c r="AG12" s="149">
        <f t="shared" si="5"/>
        <v>401650625207</v>
      </c>
      <c r="AH12" s="95">
        <f>MATCH(AG12,'Ballot Entry'!$T$3:$T$72,0)</f>
        <v>15</v>
      </c>
      <c r="AI12" s="57"/>
      <c r="AJ12" s="57"/>
      <c r="AK12" s="57">
        <f>IF(U12&lt;1770,COUNTIF('Tab Summary'!D37:L37,"W")+COUNTIF('Tab Summary'!D37:L37,"T")/2,0)</f>
        <v>1.5</v>
      </c>
      <c r="AL12" s="57"/>
      <c r="AM12" s="57">
        <f t="shared" si="0"/>
        <v>0</v>
      </c>
      <c r="AN12" s="57">
        <f t="shared" si="1"/>
        <v>0</v>
      </c>
      <c r="AO12" s="57"/>
      <c r="AP12" s="57"/>
    </row>
    <row r="13" spans="1:42" x14ac:dyDescent="0.2">
      <c r="A13" s="63" t="str">
        <f>IF(Teams&gt;=8, "1", "Hide")</f>
        <v>1</v>
      </c>
      <c r="B13" s="386"/>
      <c r="G13" s="68" t="s">
        <v>50</v>
      </c>
      <c r="H13" s="29" t="s">
        <v>47</v>
      </c>
      <c r="I13" s="246">
        <v>4</v>
      </c>
      <c r="K13" s="366">
        <f t="shared" si="6"/>
        <v>10</v>
      </c>
      <c r="L13" s="367">
        <f t="shared" si="3"/>
        <v>10</v>
      </c>
      <c r="M13" s="368">
        <f>IF(ISBLANK('Ballot Entry'!D33),9999,'Ballot Entry'!D33)</f>
        <v>9999</v>
      </c>
      <c r="N13" s="368">
        <f>IF(ISBLANK('Ballot Entry'!F33),9999,'Ballot Entry'!F33)</f>
        <v>9999</v>
      </c>
      <c r="O13" s="367">
        <f>IF('Ballot Entry'!H33="p",'Ballot Entry'!I33,'Ballot Entry'!I33*-1)</f>
        <v>0</v>
      </c>
      <c r="P13" s="367">
        <f>IF('Ballot Entry'!H34="p",'Ballot Entry'!I34,'Ballot Entry'!I34*-1)</f>
        <v>0</v>
      </c>
      <c r="Q13" s="369">
        <f>IF('Ballot Entry'!H35="p",'Ballot Entry'!I35,'Ballot Entry'!I35*-1)</f>
        <v>0</v>
      </c>
      <c r="R13" s="57"/>
      <c r="S13" s="57"/>
      <c r="T13" s="149">
        <f t="shared" si="4"/>
        <v>101400590153</v>
      </c>
      <c r="U13" s="98">
        <f>'Tournament Info'!C25</f>
        <v>1489</v>
      </c>
      <c r="V13" s="32" t="s">
        <v>104</v>
      </c>
      <c r="W13" s="99" t="str">
        <f>'Tournament Info'!B25</f>
        <v>Brown</v>
      </c>
      <c r="X13" s="148">
        <f>'Tab Summary'!P39+('Tab Summary'!T39/2)</f>
        <v>1</v>
      </c>
      <c r="Y13" s="31">
        <f>'Tab Summary'!Y39</f>
        <v>0</v>
      </c>
      <c r="Z13" s="148">
        <f>'Tab Summary'!P41</f>
        <v>14</v>
      </c>
      <c r="AA13" s="31">
        <f>'Tab Summary'!Y40</f>
        <v>0</v>
      </c>
      <c r="AB13" s="148">
        <f>'Tab Summary'!R41</f>
        <v>59</v>
      </c>
      <c r="AC13" s="20">
        <f>'Tab Summary'!T41</f>
        <v>-47</v>
      </c>
      <c r="AD13" s="360">
        <f>'Tab Summary'!Y40</f>
        <v>0</v>
      </c>
      <c r="AF13" s="95">
        <v>11</v>
      </c>
      <c r="AG13" s="149">
        <f t="shared" si="5"/>
        <v>401650605180</v>
      </c>
      <c r="AH13" s="95">
        <f>MATCH(AG13,'Ballot Entry'!$T$3:$T$72,0)</f>
        <v>12</v>
      </c>
      <c r="AI13" s="57"/>
      <c r="AJ13" s="57"/>
      <c r="AK13" s="57">
        <f>IF(U13&lt;1770,COUNTIF('Tab Summary'!D40:L40,"W")+COUNTIF('Tab Summary'!D40:L40,"T")/2,0)</f>
        <v>1</v>
      </c>
      <c r="AL13" s="57"/>
      <c r="AM13" s="57">
        <f t="shared" si="0"/>
        <v>0</v>
      </c>
      <c r="AN13" s="57">
        <f t="shared" si="1"/>
        <v>0</v>
      </c>
      <c r="AO13" s="57"/>
    </row>
    <row r="14" spans="1:42" ht="13.5" thickBot="1" x14ac:dyDescent="0.25">
      <c r="A14" s="64" t="str">
        <f>IF(Teams&gt;=8, IF(Ballots = 3, "1", "Hide"), "Hide")</f>
        <v>Hide</v>
      </c>
      <c r="B14" s="388"/>
      <c r="C14" s="281"/>
      <c r="D14" s="282"/>
      <c r="E14" s="282"/>
      <c r="F14" s="77"/>
      <c r="G14" s="70" t="s">
        <v>51</v>
      </c>
      <c r="H14" s="30"/>
      <c r="I14" s="247"/>
      <c r="K14" s="366">
        <f t="shared" si="6"/>
        <v>10</v>
      </c>
      <c r="L14" s="367">
        <f t="shared" si="3"/>
        <v>10</v>
      </c>
      <c r="M14" s="368">
        <f>IF(ISBLANK('Ballot Entry'!D36),9999,'Ballot Entry'!D36)</f>
        <v>9999</v>
      </c>
      <c r="N14" s="368">
        <f>IF(ISBLANK('Ballot Entry'!F36),9999,'Ballot Entry'!F36)</f>
        <v>9999</v>
      </c>
      <c r="O14" s="367">
        <f>IF('Ballot Entry'!H36="p",'Ballot Entry'!I36,'Ballot Entry'!I36*-1)</f>
        <v>0</v>
      </c>
      <c r="P14" s="367">
        <f>IF('Ballot Entry'!H37="p",'Ballot Entry'!I37,'Ballot Entry'!I37*-1)</f>
        <v>0</v>
      </c>
      <c r="Q14" s="369">
        <f>IF('Ballot Entry'!H38="p",'Ballot Entry'!I38,'Ballot Entry'!I38*-1)</f>
        <v>0</v>
      </c>
      <c r="R14" s="57"/>
      <c r="S14" s="57"/>
      <c r="T14" s="149">
        <f t="shared" si="4"/>
        <v>401650605180</v>
      </c>
      <c r="U14" s="98">
        <f>'Tournament Info'!C26</f>
        <v>1492</v>
      </c>
      <c r="V14" s="32" t="s">
        <v>105</v>
      </c>
      <c r="W14" s="99" t="str">
        <f>'Tournament Info'!B26</f>
        <v>UCLA</v>
      </c>
      <c r="X14" s="148">
        <f>'Tab Summary'!P42+('Tab Summary'!T42/2)</f>
        <v>4</v>
      </c>
      <c r="Y14" s="31">
        <f>'Tab Summary'!Y42</f>
        <v>0</v>
      </c>
      <c r="Z14" s="148">
        <f>'Tab Summary'!P44</f>
        <v>16.5</v>
      </c>
      <c r="AA14" s="31">
        <f>'Tab Summary'!Y43</f>
        <v>0</v>
      </c>
      <c r="AB14" s="148">
        <f>'Tab Summary'!R44</f>
        <v>60.5</v>
      </c>
      <c r="AC14" s="20">
        <f>'Tab Summary'!T44</f>
        <v>-20</v>
      </c>
      <c r="AD14" s="360">
        <f>'Tab Summary'!Y43</f>
        <v>0</v>
      </c>
      <c r="AF14" s="95">
        <v>12</v>
      </c>
      <c r="AG14" s="149">
        <f t="shared" si="5"/>
        <v>351750690197</v>
      </c>
      <c r="AH14" s="95">
        <f>MATCH(AG14,'Ballot Entry'!$T$3:$T$72,0)</f>
        <v>8</v>
      </c>
      <c r="AI14" s="57"/>
      <c r="AJ14" s="57"/>
      <c r="AK14" s="57">
        <f>IF(U14&lt;1770,COUNTIF('Tab Summary'!D43:L43,"W")+COUNTIF('Tab Summary'!D43:L43,"T")/2,0)</f>
        <v>3</v>
      </c>
      <c r="AL14" s="57"/>
      <c r="AM14" s="57">
        <f t="shared" ref="AM14:AM42" si="7">IF(X14&gt;=4.5,1,0)</f>
        <v>0</v>
      </c>
      <c r="AN14" s="57">
        <f t="shared" si="1"/>
        <v>0</v>
      </c>
      <c r="AO14" s="57"/>
      <c r="AP14" s="57"/>
    </row>
    <row r="15" spans="1:42" ht="15" thickTop="1" x14ac:dyDescent="0.3">
      <c r="A15" s="60" t="str">
        <f>IF(Teams&gt;=10, "1", "Hide")</f>
        <v>1</v>
      </c>
      <c r="B15" s="384">
        <v>601</v>
      </c>
      <c r="C15" s="276" t="s">
        <v>220</v>
      </c>
      <c r="D15" s="384">
        <v>1557</v>
      </c>
      <c r="E15" s="276" t="s">
        <v>221</v>
      </c>
      <c r="F15" s="74">
        <v>1517</v>
      </c>
      <c r="G15" s="67" t="s">
        <v>49</v>
      </c>
      <c r="H15" s="25" t="s">
        <v>47</v>
      </c>
      <c r="I15" s="242">
        <v>1</v>
      </c>
      <c r="K15" s="366">
        <f t="shared" si="6"/>
        <v>10</v>
      </c>
      <c r="L15" s="367">
        <f t="shared" si="3"/>
        <v>10</v>
      </c>
      <c r="M15" s="368">
        <f>IF(ISBLANK('Ballot Entry'!D39),9999,'Ballot Entry'!D39)</f>
        <v>9999</v>
      </c>
      <c r="N15" s="368">
        <f>IF(ISBLANK('Ballot Entry'!F39),9999,'Ballot Entry'!F39)</f>
        <v>9999</v>
      </c>
      <c r="O15" s="367">
        <f>IF('Ballot Entry'!H39="p",'Ballot Entry'!I39,'Ballot Entry'!I39*-1)</f>
        <v>0</v>
      </c>
      <c r="P15" s="367">
        <f>IF('Ballot Entry'!H40="p",'Ballot Entry'!I40,'Ballot Entry'!I40*-1)</f>
        <v>0</v>
      </c>
      <c r="Q15" s="369">
        <f>IF('Ballot Entry'!H41="p",'Ballot Entry'!I41,'Ballot Entry'!I41*-1)</f>
        <v>0</v>
      </c>
      <c r="R15" s="57"/>
      <c r="S15" s="57"/>
      <c r="T15" s="149">
        <f t="shared" si="4"/>
        <v>602000715240</v>
      </c>
      <c r="U15" s="98">
        <f>'Tournament Info'!C27</f>
        <v>1506</v>
      </c>
      <c r="V15" s="32" t="s">
        <v>106</v>
      </c>
      <c r="W15" s="99" t="str">
        <f>'Tournament Info'!B27</f>
        <v>New York</v>
      </c>
      <c r="X15" s="148">
        <f>'Tab Summary'!P45+('Tab Summary'!T45/2)</f>
        <v>6</v>
      </c>
      <c r="Y15" s="31">
        <f>'Tab Summary'!Y45</f>
        <v>0</v>
      </c>
      <c r="Z15" s="148">
        <f>'Tab Summary'!P47</f>
        <v>20</v>
      </c>
      <c r="AA15" s="31">
        <f>'Tab Summary'!Y46</f>
        <v>0</v>
      </c>
      <c r="AB15" s="148">
        <f>'Tab Summary'!R47</f>
        <v>71.5</v>
      </c>
      <c r="AC15" s="20">
        <f>'Tab Summary'!T47</f>
        <v>40</v>
      </c>
      <c r="AD15" s="360">
        <f>'Tab Summary'!Y46</f>
        <v>0</v>
      </c>
      <c r="AF15" s="95">
        <v>13</v>
      </c>
      <c r="AG15" s="149">
        <f t="shared" si="5"/>
        <v>351200595211</v>
      </c>
      <c r="AH15" s="95">
        <f>MATCH(AG15,'Ballot Entry'!$T$3:$T$72,0)</f>
        <v>10</v>
      </c>
      <c r="AI15" s="57"/>
      <c r="AJ15" s="57"/>
      <c r="AK15" s="57">
        <f>IF(U15&lt;1770,COUNTIF('Tab Summary'!D46:L46,"W")+COUNTIF('Tab Summary'!D46:L46,"T")/2,0)</f>
        <v>4</v>
      </c>
      <c r="AL15" s="57"/>
      <c r="AM15" s="57">
        <f t="shared" si="7"/>
        <v>1</v>
      </c>
      <c r="AN15" s="57">
        <f t="shared" si="1"/>
        <v>1</v>
      </c>
      <c r="AO15" s="57"/>
      <c r="AP15" s="57"/>
    </row>
    <row r="16" spans="1:42" x14ac:dyDescent="0.2">
      <c r="A16" s="61" t="str">
        <f>IF(Teams&gt;=10, "1", "Hide")</f>
        <v>1</v>
      </c>
      <c r="G16" s="68" t="s">
        <v>50</v>
      </c>
      <c r="H16" s="26" t="s">
        <v>33</v>
      </c>
      <c r="I16" s="243">
        <v>5</v>
      </c>
      <c r="K16" s="366">
        <f t="shared" si="6"/>
        <v>10</v>
      </c>
      <c r="L16" s="367">
        <f t="shared" si="3"/>
        <v>10</v>
      </c>
      <c r="M16" s="368">
        <f>IF(ISBLANK('Ballot Entry'!D42),9999,'Ballot Entry'!D42)</f>
        <v>9999</v>
      </c>
      <c r="N16" s="368">
        <f>IF(ISBLANK('Ballot Entry'!F42),9999,'Ballot Entry'!F42)</f>
        <v>9999</v>
      </c>
      <c r="O16" s="367">
        <f>IF('Ballot Entry'!H42="p",'Ballot Entry'!I42,'Ballot Entry'!I42*-1)</f>
        <v>0</v>
      </c>
      <c r="P16" s="367">
        <f>IF('Ballot Entry'!H43="p",'Ballot Entry'!I43,'Ballot Entry'!I43*-1)</f>
        <v>0</v>
      </c>
      <c r="Q16" s="369">
        <f>IF('Ballot Entry'!H44="p",'Ballot Entry'!I44,'Ballot Entry'!I44*-1)</f>
        <v>0</v>
      </c>
      <c r="R16" s="57"/>
      <c r="S16" s="57"/>
      <c r="T16" s="149">
        <f t="shared" si="4"/>
        <v>451700630190</v>
      </c>
      <c r="U16" s="98">
        <f>'Tournament Info'!C28</f>
        <v>1517</v>
      </c>
      <c r="V16" s="32" t="s">
        <v>107</v>
      </c>
      <c r="W16" s="99" t="str">
        <f>'Tournament Info'!B28</f>
        <v>UC Irvine</v>
      </c>
      <c r="X16" s="148">
        <f>'Tab Summary'!P48+('Tab Summary'!T48/2)</f>
        <v>4.5</v>
      </c>
      <c r="Y16" s="31">
        <f>'Tab Summary'!Y48</f>
        <v>0</v>
      </c>
      <c r="Z16" s="148">
        <f>'Tab Summary'!P50</f>
        <v>17</v>
      </c>
      <c r="AA16" s="31">
        <f>'Tab Summary'!Y49</f>
        <v>0</v>
      </c>
      <c r="AB16" s="148">
        <f>'Tab Summary'!R50</f>
        <v>63</v>
      </c>
      <c r="AC16" s="20">
        <f>'Tab Summary'!T50</f>
        <v>-10</v>
      </c>
      <c r="AD16" s="360">
        <f>'Tab Summary'!Y49</f>
        <v>0</v>
      </c>
      <c r="AF16" s="95">
        <v>14</v>
      </c>
      <c r="AG16" s="149">
        <f t="shared" si="5"/>
        <v>301450660196</v>
      </c>
      <c r="AH16" s="95">
        <f>MATCH(AG16,'Ballot Entry'!$T$3:$T$72,0)</f>
        <v>7</v>
      </c>
      <c r="AI16" s="57"/>
      <c r="AJ16" s="57"/>
      <c r="AK16" s="57">
        <f>IF(U16&lt;1770,COUNTIF('Tab Summary'!D49:L49,"W")+COUNTIF('Tab Summary'!D49:L49,"T")/2,0)</f>
        <v>4.5</v>
      </c>
      <c r="AL16" s="57"/>
      <c r="AM16" s="57">
        <f t="shared" si="7"/>
        <v>1</v>
      </c>
      <c r="AN16" s="57">
        <f t="shared" si="1"/>
        <v>0</v>
      </c>
      <c r="AO16" s="57"/>
      <c r="AP16" s="57"/>
    </row>
    <row r="17" spans="1:43" ht="13.5" thickBot="1" x14ac:dyDescent="0.25">
      <c r="A17" s="61" t="str">
        <f>IF(Teams&gt;=10, IF(Ballots = 3, "1", "Hide"), "Hide")</f>
        <v>Hide</v>
      </c>
      <c r="B17" s="386"/>
      <c r="C17" s="277"/>
      <c r="D17" s="278"/>
      <c r="E17" s="278"/>
      <c r="F17" s="75"/>
      <c r="G17" s="68" t="s">
        <v>51</v>
      </c>
      <c r="H17" s="27"/>
      <c r="I17" s="244"/>
      <c r="K17" s="366">
        <f t="shared" si="6"/>
        <v>10</v>
      </c>
      <c r="L17" s="367">
        <f t="shared" si="3"/>
        <v>10</v>
      </c>
      <c r="M17" s="368">
        <f>IF(ISBLANK('Ballot Entry'!D45),9999,'Ballot Entry'!D45)</f>
        <v>9999</v>
      </c>
      <c r="N17" s="368">
        <f>IF(ISBLANK('Ballot Entry'!F45),9999,'Ballot Entry'!F45)</f>
        <v>9999</v>
      </c>
      <c r="O17" s="367">
        <f>IF('Ballot Entry'!H45="p",'Ballot Entry'!I45,'Ballot Entry'!I45*-1)</f>
        <v>0</v>
      </c>
      <c r="P17" s="367">
        <f>IF('Ballot Entry'!H46="p",'Ballot Entry'!I46,'Ballot Entry'!I46*-1)</f>
        <v>0</v>
      </c>
      <c r="Q17" s="369">
        <f>IF('Ballot Entry'!H47="p",'Ballot Entry'!I47,'Ballot Entry'!I47*-1)</f>
        <v>0</v>
      </c>
      <c r="R17" s="57"/>
      <c r="S17" s="57"/>
      <c r="T17" s="149">
        <f t="shared" si="4"/>
        <v>401650625207</v>
      </c>
      <c r="U17" s="98">
        <f>'Tournament Info'!C29</f>
        <v>1557</v>
      </c>
      <c r="V17" s="32" t="s">
        <v>108</v>
      </c>
      <c r="W17" s="99" t="str">
        <f>'Tournament Info'!B29</f>
        <v>Harvard</v>
      </c>
      <c r="X17" s="148">
        <f>'Tab Summary'!P52+('Tab Summary'!T52/2)</f>
        <v>4</v>
      </c>
      <c r="Y17" s="31">
        <f>'Tab Summary'!Y52</f>
        <v>0</v>
      </c>
      <c r="Z17" s="148">
        <f>'Tab Summary'!P54</f>
        <v>16.5</v>
      </c>
      <c r="AA17" s="31">
        <f>'Tab Summary'!Y53</f>
        <v>0</v>
      </c>
      <c r="AB17" s="148">
        <f>'Tab Summary'!R54</f>
        <v>62.5</v>
      </c>
      <c r="AC17" s="20">
        <f>'Tab Summary'!T54</f>
        <v>7</v>
      </c>
      <c r="AD17" s="360">
        <f>'Tab Summary'!Y53</f>
        <v>0</v>
      </c>
      <c r="AF17" s="95">
        <v>15</v>
      </c>
      <c r="AG17" s="149">
        <f t="shared" si="5"/>
        <v>251200590191</v>
      </c>
      <c r="AH17" s="95">
        <f>MATCH(AG17,'Ballot Entry'!$T$3:$T$72,0)</f>
        <v>5</v>
      </c>
      <c r="AI17" s="57"/>
      <c r="AJ17" s="57"/>
      <c r="AK17" s="57">
        <f>IF(U17&lt;1770,COUNTIF('Tab Summary'!D53:L53,"W")+COUNTIF('Tab Summary'!D53:L53,"T")/2,0)</f>
        <v>4</v>
      </c>
      <c r="AL17" s="57"/>
      <c r="AM17" s="57">
        <f t="shared" si="7"/>
        <v>0</v>
      </c>
      <c r="AN17" s="57">
        <f t="shared" si="1"/>
        <v>0</v>
      </c>
      <c r="AO17" s="57"/>
      <c r="AP17" s="57"/>
    </row>
    <row r="18" spans="1:43" ht="15" thickTop="1" x14ac:dyDescent="0.3">
      <c r="A18" s="62" t="str">
        <f>IF(Teams&gt;=12, "1", "Hide")</f>
        <v>1</v>
      </c>
      <c r="B18" s="387">
        <v>602</v>
      </c>
      <c r="C18" s="279" t="s">
        <v>220</v>
      </c>
      <c r="D18" s="280">
        <v>1262</v>
      </c>
      <c r="E18" s="279" t="s">
        <v>221</v>
      </c>
      <c r="F18" s="76">
        <v>1693</v>
      </c>
      <c r="G18" s="69" t="s">
        <v>49</v>
      </c>
      <c r="H18" s="28" t="s">
        <v>33</v>
      </c>
      <c r="I18" s="245">
        <v>2</v>
      </c>
      <c r="K18" s="366">
        <f t="shared" si="6"/>
        <v>10</v>
      </c>
      <c r="L18" s="367">
        <f t="shared" si="3"/>
        <v>10</v>
      </c>
      <c r="M18" s="368">
        <f>IF(ISBLANK('Ballot Entry'!D48),9999,'Ballot Entry'!D48)</f>
        <v>9999</v>
      </c>
      <c r="N18" s="368">
        <f>IF(ISBLANK('Ballot Entry'!F48),9999,'Ballot Entry'!F48)</f>
        <v>9999</v>
      </c>
      <c r="O18" s="367">
        <f>IF('Ballot Entry'!H48="p",'Ballot Entry'!I48,'Ballot Entry'!I48*-1)</f>
        <v>0</v>
      </c>
      <c r="P18" s="367">
        <f>IF('Ballot Entry'!H49="p",'Ballot Entry'!I49,'Ballot Entry'!I49*-1)</f>
        <v>0</v>
      </c>
      <c r="Q18" s="369">
        <f>IF('Ballot Entry'!H50="p",'Ballot Entry'!I50,'Ballot Entry'!I50*-1)</f>
        <v>0</v>
      </c>
      <c r="R18" s="57"/>
      <c r="S18" s="57"/>
      <c r="T18" s="149">
        <f t="shared" si="4"/>
        <v>751350705248</v>
      </c>
      <c r="U18" s="98">
        <f>'Tournament Info'!C30</f>
        <v>1577</v>
      </c>
      <c r="V18" s="32" t="s">
        <v>109</v>
      </c>
      <c r="W18" s="99" t="str">
        <f>'Tournament Info'!B30</f>
        <v>Yale</v>
      </c>
      <c r="X18" s="148">
        <f>'Tab Summary'!P55+('Tab Summary'!T55/2)</f>
        <v>7.5</v>
      </c>
      <c r="Y18" s="31">
        <f>'Tab Summary'!Y55</f>
        <v>0</v>
      </c>
      <c r="Z18" s="148">
        <f>'Tab Summary'!P57</f>
        <v>13.5</v>
      </c>
      <c r="AA18" s="31">
        <f>'Tab Summary'!Y56</f>
        <v>0</v>
      </c>
      <c r="AB18" s="148">
        <f>'Tab Summary'!R57</f>
        <v>70.5</v>
      </c>
      <c r="AC18" s="20">
        <f>'Tab Summary'!T57</f>
        <v>48</v>
      </c>
      <c r="AD18" s="360">
        <f>'Tab Summary'!Y56</f>
        <v>0</v>
      </c>
      <c r="AF18" s="95">
        <v>16</v>
      </c>
      <c r="AG18" s="149">
        <f t="shared" si="5"/>
        <v>201600600175</v>
      </c>
      <c r="AH18" s="95">
        <f>MATCH(AG18,'Ballot Entry'!$T$3:$T$72,0)</f>
        <v>18</v>
      </c>
      <c r="AI18" s="57"/>
      <c r="AJ18" s="57"/>
      <c r="AK18" s="57">
        <f>IF(U18&lt;1770,COUNTIF('Tab Summary'!D56:L56,"W")+COUNTIF('Tab Summary'!D56:L56,"T")/2,0)</f>
        <v>5.5</v>
      </c>
      <c r="AL18" s="57"/>
      <c r="AM18" s="57">
        <f t="shared" si="7"/>
        <v>1</v>
      </c>
      <c r="AN18" s="57">
        <f t="shared" si="1"/>
        <v>1</v>
      </c>
      <c r="AO18" s="57"/>
      <c r="AP18" s="57"/>
    </row>
    <row r="19" spans="1:43" x14ac:dyDescent="0.2">
      <c r="A19" s="63" t="str">
        <f>IF(Teams&gt;=12, "1", "Hide")</f>
        <v>1</v>
      </c>
      <c r="B19" s="386"/>
      <c r="G19" s="68" t="s">
        <v>50</v>
      </c>
      <c r="H19" s="29" t="s">
        <v>33</v>
      </c>
      <c r="I19" s="246">
        <v>13</v>
      </c>
      <c r="K19" s="366">
        <f t="shared" si="6"/>
        <v>10</v>
      </c>
      <c r="L19" s="367">
        <f t="shared" si="3"/>
        <v>10</v>
      </c>
      <c r="M19" s="368">
        <f>IF(ISBLANK('Ballot Entry'!D51),9999,'Ballot Entry'!D51)</f>
        <v>9999</v>
      </c>
      <c r="N19" s="368">
        <f>IF(ISBLANK('Ballot Entry'!F51),9999,'Ballot Entry'!F51)</f>
        <v>9999</v>
      </c>
      <c r="O19" s="367">
        <f>IF('Ballot Entry'!H51="p",'Ballot Entry'!I51,'Ballot Entry'!I51*-1)</f>
        <v>0</v>
      </c>
      <c r="P19" s="367">
        <f>IF('Ballot Entry'!H52="p",'Ballot Entry'!I52,'Ballot Entry'!I52*-1)</f>
        <v>0</v>
      </c>
      <c r="Q19" s="369">
        <f>IF('Ballot Entry'!H53="p",'Ballot Entry'!I53,'Ballot Entry'!I53*-1)</f>
        <v>0</v>
      </c>
      <c r="R19" s="57"/>
      <c r="S19" s="57"/>
      <c r="T19" s="149">
        <f t="shared" si="4"/>
        <v>651750660218</v>
      </c>
      <c r="U19" s="98">
        <f>'Tournament Info'!C31</f>
        <v>1616</v>
      </c>
      <c r="V19" s="32" t="s">
        <v>110</v>
      </c>
      <c r="W19" s="99" t="str">
        <f>'Tournament Info'!B31</f>
        <v>Chicago</v>
      </c>
      <c r="X19" s="148">
        <f>'Tab Summary'!P58+('Tab Summary'!T58/2)</f>
        <v>6.5</v>
      </c>
      <c r="Y19" s="31">
        <f>'Tab Summary'!Y58</f>
        <v>0</v>
      </c>
      <c r="Z19" s="148">
        <f>'Tab Summary'!P60</f>
        <v>17.5</v>
      </c>
      <c r="AA19" s="31">
        <f>'Tab Summary'!Y59</f>
        <v>0</v>
      </c>
      <c r="AB19" s="148">
        <f>'Tab Summary'!R60</f>
        <v>66</v>
      </c>
      <c r="AC19" s="20">
        <f>'Tab Summary'!T60</f>
        <v>18</v>
      </c>
      <c r="AD19" s="360">
        <f>'Tab Summary'!Y59</f>
        <v>0</v>
      </c>
      <c r="AF19" s="95">
        <v>17</v>
      </c>
      <c r="AG19" s="149">
        <f t="shared" si="5"/>
        <v>101600540126</v>
      </c>
      <c r="AH19" s="95">
        <f>MATCH(AG19,'Ballot Entry'!$T$3:$T$72,0)</f>
        <v>3</v>
      </c>
      <c r="AI19" s="57"/>
      <c r="AJ19" s="57"/>
      <c r="AK19" s="57">
        <f>IF(U19&lt;1770,COUNTIF('Tab Summary'!D59:L59,"W")+COUNTIF('Tab Summary'!D59:L59,"T")/2,0)</f>
        <v>4.5</v>
      </c>
      <c r="AL19" s="57"/>
      <c r="AM19" s="57">
        <f t="shared" si="7"/>
        <v>1</v>
      </c>
      <c r="AN19" s="57">
        <f t="shared" si="1"/>
        <v>1</v>
      </c>
      <c r="AO19" s="57"/>
      <c r="AP19" s="57"/>
    </row>
    <row r="20" spans="1:43" ht="13.5" thickBot="1" x14ac:dyDescent="0.25">
      <c r="A20" s="64" t="str">
        <f>IF(Teams&gt;=12, IF(Ballots = 3, "1", "Hide"), "Hide")</f>
        <v>Hide</v>
      </c>
      <c r="B20" s="388"/>
      <c r="C20" s="281"/>
      <c r="D20" s="282"/>
      <c r="E20" s="282"/>
      <c r="F20" s="77"/>
      <c r="G20" s="70" t="s">
        <v>51</v>
      </c>
      <c r="H20" s="30"/>
      <c r="I20" s="247"/>
      <c r="K20" s="366">
        <f t="shared" si="6"/>
        <v>10</v>
      </c>
      <c r="L20" s="367">
        <f t="shared" si="3"/>
        <v>10</v>
      </c>
      <c r="M20" s="368">
        <f>IF(ISBLANK('Ballot Entry'!D54),9999,'Ballot Entry'!D54)</f>
        <v>9999</v>
      </c>
      <c r="N20" s="368">
        <f>IF(ISBLANK('Ballot Entry'!F54),9999,'Ballot Entry'!F54)</f>
        <v>9999</v>
      </c>
      <c r="O20" s="367">
        <f>IF('Ballot Entry'!H54="p",'Ballot Entry'!I54,'Ballot Entry'!I54*-1)</f>
        <v>0</v>
      </c>
      <c r="P20" s="367">
        <f>IF('Ballot Entry'!H55="p",'Ballot Entry'!I55,'Ballot Entry'!I55*-1)</f>
        <v>0</v>
      </c>
      <c r="Q20" s="369">
        <f>IF('Ballot Entry'!H56="p",'Ballot Entry'!I56,'Ballot Entry'!I56*-1)</f>
        <v>0</v>
      </c>
      <c r="R20" s="57"/>
      <c r="S20" s="57"/>
      <c r="T20" s="149">
        <f t="shared" si="4"/>
        <v>201600600175</v>
      </c>
      <c r="U20" s="98">
        <f>'Tournament Info'!C32</f>
        <v>1693</v>
      </c>
      <c r="V20" s="32" t="s">
        <v>111</v>
      </c>
      <c r="W20" s="99" t="str">
        <f>'Tournament Info'!B32</f>
        <v>Northwestern</v>
      </c>
      <c r="X20" s="148">
        <f>'Tab Summary'!P61+('Tab Summary'!T61/2)</f>
        <v>2</v>
      </c>
      <c r="Y20" s="31">
        <f>'Tab Summary'!Y61</f>
        <v>0</v>
      </c>
      <c r="Z20" s="148">
        <f>'Tab Summary'!P63</f>
        <v>16</v>
      </c>
      <c r="AA20" s="31">
        <f>'Tab Summary'!Y62</f>
        <v>0</v>
      </c>
      <c r="AB20" s="148">
        <f>'Tab Summary'!R63</f>
        <v>60</v>
      </c>
      <c r="AC20" s="20">
        <f>'Tab Summary'!T63</f>
        <v>-25</v>
      </c>
      <c r="AD20" s="360">
        <f>'Tab Summary'!Y62</f>
        <v>0</v>
      </c>
      <c r="AF20" s="95">
        <v>18</v>
      </c>
      <c r="AG20" s="149">
        <f t="shared" si="5"/>
        <v>101400590153</v>
      </c>
      <c r="AH20" s="95">
        <f>MATCH(AG20,'Ballot Entry'!$T$3:$T$72,0)</f>
        <v>11</v>
      </c>
      <c r="AI20" s="57"/>
      <c r="AJ20" s="57"/>
      <c r="AK20" s="57">
        <f>IF(U20&lt;1770,COUNTIF('Tab Summary'!D62:L62,"W")+COUNTIF('Tab Summary'!D62:L62,"T")/2,0)</f>
        <v>2</v>
      </c>
      <c r="AL20" s="57"/>
      <c r="AM20" s="57">
        <f t="shared" si="7"/>
        <v>0</v>
      </c>
      <c r="AN20" s="57">
        <f t="shared" si="1"/>
        <v>0</v>
      </c>
      <c r="AO20" s="57"/>
      <c r="AP20" s="57"/>
    </row>
    <row r="21" spans="1:43" ht="15" thickTop="1" x14ac:dyDescent="0.3">
      <c r="A21" s="60" t="str">
        <f>IF(Teams&gt;=14, "1", "Hide")</f>
        <v>1</v>
      </c>
      <c r="B21" s="384">
        <v>603</v>
      </c>
      <c r="C21" s="276" t="s">
        <v>220</v>
      </c>
      <c r="D21" s="384">
        <v>1258</v>
      </c>
      <c r="E21" s="276" t="s">
        <v>221</v>
      </c>
      <c r="F21" s="74">
        <v>1217</v>
      </c>
      <c r="G21" s="67" t="s">
        <v>49</v>
      </c>
      <c r="H21" s="25" t="s">
        <v>33</v>
      </c>
      <c r="I21" s="242">
        <v>6</v>
      </c>
      <c r="K21" s="366">
        <f t="shared" si="6"/>
        <v>10</v>
      </c>
      <c r="L21" s="367">
        <f t="shared" si="3"/>
        <v>10</v>
      </c>
      <c r="M21" s="368">
        <f>IF(ISBLANK('Ballot Entry'!D57),9999,'Ballot Entry'!D57)</f>
        <v>9999</v>
      </c>
      <c r="N21" s="368">
        <f>IF(ISBLANK('Ballot Entry'!F57),9999,'Ballot Entry'!F57)</f>
        <v>9999</v>
      </c>
      <c r="O21" s="367">
        <f>IF('Ballot Entry'!H57="p",'Ballot Entry'!I57,'Ballot Entry'!I57*-1)</f>
        <v>0</v>
      </c>
      <c r="P21" s="367">
        <f>IF('Ballot Entry'!H58="p",'Ballot Entry'!I58,'Ballot Entry'!I58*-1)</f>
        <v>0</v>
      </c>
      <c r="Q21" s="369">
        <f>IF('Ballot Entry'!H59="p",'Ballot Entry'!I59,'Ballot Entry'!I59*-1)</f>
        <v>0</v>
      </c>
      <c r="R21" s="57"/>
      <c r="S21" s="57"/>
      <c r="T21" s="149">
        <f t="shared" si="4"/>
        <v>200</v>
      </c>
      <c r="U21" s="98">
        <f>'Tournament Info'!C33</f>
        <v>0</v>
      </c>
      <c r="V21" s="32" t="s">
        <v>112</v>
      </c>
      <c r="W21" s="99">
        <f>'Tournament Info'!B33</f>
        <v>0</v>
      </c>
      <c r="X21" s="148">
        <f>'Tab Summary'!P64+('Tab Summary'!T64/2)</f>
        <v>0</v>
      </c>
      <c r="Y21" s="31">
        <f>'Tab Summary'!Y64</f>
        <v>0</v>
      </c>
      <c r="Z21" s="148">
        <f>'Tab Summary'!P66</f>
        <v>0</v>
      </c>
      <c r="AA21" s="31">
        <f>'Tab Summary'!Y65</f>
        <v>0</v>
      </c>
      <c r="AB21" s="148">
        <f>'Tab Summary'!R66</f>
        <v>0</v>
      </c>
      <c r="AC21" s="20">
        <f>'Tab Summary'!T66</f>
        <v>0</v>
      </c>
      <c r="AD21" s="360">
        <f>'Tab Summary'!Y65</f>
        <v>0</v>
      </c>
      <c r="AF21" s="95">
        <v>19</v>
      </c>
      <c r="AG21" s="149">
        <f t="shared" si="5"/>
        <v>200</v>
      </c>
      <c r="AH21" s="95">
        <f>MATCH(AG21,'Ballot Entry'!$T$3:$T$72,0)</f>
        <v>19</v>
      </c>
      <c r="AI21" s="57"/>
      <c r="AJ21" s="57"/>
      <c r="AK21" s="57">
        <f>IF(U21&lt;1770,COUNTIF('Tab Summary'!D65:L65,"W")+COUNTIF('Tab Summary'!D65:L65,"T")/2,0)</f>
        <v>0</v>
      </c>
      <c r="AL21" s="57"/>
      <c r="AM21" s="57">
        <f t="shared" si="7"/>
        <v>0</v>
      </c>
      <c r="AN21" s="57">
        <f t="shared" si="1"/>
        <v>0</v>
      </c>
      <c r="AO21" s="57"/>
      <c r="AP21" s="57"/>
    </row>
    <row r="22" spans="1:43" x14ac:dyDescent="0.2">
      <c r="A22" s="61" t="str">
        <f>IF(Teams&gt;=14, "1", "Hide")</f>
        <v>1</v>
      </c>
      <c r="G22" s="68" t="s">
        <v>50</v>
      </c>
      <c r="H22" s="26" t="s">
        <v>33</v>
      </c>
      <c r="I22" s="243">
        <v>7</v>
      </c>
      <c r="K22" s="366">
        <f t="shared" si="6"/>
        <v>10</v>
      </c>
      <c r="L22" s="367">
        <f t="shared" si="3"/>
        <v>10</v>
      </c>
      <c r="M22" s="368">
        <f>IF(ISBLANK('Ballot Entry'!D60),9999,'Ballot Entry'!D60)</f>
        <v>9999</v>
      </c>
      <c r="N22" s="368">
        <f>IF(ISBLANK('Ballot Entry'!F60),9999,'Ballot Entry'!F60)</f>
        <v>9999</v>
      </c>
      <c r="O22" s="367">
        <f>IF('Ballot Entry'!H60="p",'Ballot Entry'!I60,'Ballot Entry'!I60*-1)</f>
        <v>0</v>
      </c>
      <c r="P22" s="367">
        <f>IF('Ballot Entry'!H61="p",'Ballot Entry'!I61,'Ballot Entry'!I61*-1)</f>
        <v>0</v>
      </c>
      <c r="Q22" s="369">
        <f>IF('Ballot Entry'!H62="p",'Ballot Entry'!I62,'Ballot Entry'!I62*-1)</f>
        <v>0</v>
      </c>
      <c r="R22" s="57"/>
      <c r="S22" s="57"/>
      <c r="T22" s="149">
        <f t="shared" si="4"/>
        <v>200</v>
      </c>
      <c r="U22" s="98">
        <f>'Tournament Info'!C34</f>
        <v>0</v>
      </c>
      <c r="V22" s="32" t="s">
        <v>113</v>
      </c>
      <c r="W22" s="99">
        <f>'Tournament Info'!B34</f>
        <v>0</v>
      </c>
      <c r="X22" s="148">
        <f>'Tab Summary'!P67+('Tab Summary'!T67/2)</f>
        <v>0</v>
      </c>
      <c r="Y22" s="31">
        <f>'Tab Summary'!Y67</f>
        <v>0</v>
      </c>
      <c r="Z22" s="148">
        <f>'Tab Summary'!P69</f>
        <v>0</v>
      </c>
      <c r="AA22" s="31">
        <f>'Tab Summary'!Y68</f>
        <v>0</v>
      </c>
      <c r="AB22" s="148">
        <f>'Tab Summary'!R69</f>
        <v>0</v>
      </c>
      <c r="AC22" s="20">
        <f>'Tab Summary'!T69</f>
        <v>0</v>
      </c>
      <c r="AD22" s="360">
        <f>'Tab Summary'!Y68</f>
        <v>0</v>
      </c>
      <c r="AF22" s="95">
        <v>20</v>
      </c>
      <c r="AG22" s="149">
        <f t="shared" si="5"/>
        <v>200</v>
      </c>
      <c r="AH22" s="95">
        <f>MATCH(AG22,'Ballot Entry'!$T$3:$T$72,0)</f>
        <v>19</v>
      </c>
      <c r="AI22" s="57"/>
      <c r="AJ22" s="57"/>
      <c r="AK22" s="57">
        <f>IF(U22&lt;1770,COUNTIF('Tab Summary'!D68:L68,"W")+COUNTIF('Tab Summary'!D68:L68,"T")/2,0)</f>
        <v>0</v>
      </c>
      <c r="AL22" s="57"/>
      <c r="AM22" s="57">
        <f t="shared" si="7"/>
        <v>0</v>
      </c>
      <c r="AN22" s="57">
        <f t="shared" si="1"/>
        <v>0</v>
      </c>
      <c r="AO22" s="57"/>
      <c r="AP22" s="57"/>
    </row>
    <row r="23" spans="1:43" ht="13.5" thickBot="1" x14ac:dyDescent="0.25">
      <c r="A23" s="61" t="str">
        <f>IF(Teams&gt;=14, IF(Ballots = 3, "1", "Hide"), "Hide")</f>
        <v>Hide</v>
      </c>
      <c r="B23" s="386"/>
      <c r="C23" s="277"/>
      <c r="D23" s="278"/>
      <c r="E23" s="278"/>
      <c r="F23" s="75"/>
      <c r="G23" s="68" t="s">
        <v>51</v>
      </c>
      <c r="H23" s="27"/>
      <c r="I23" s="244"/>
      <c r="K23" s="366">
        <f t="shared" si="6"/>
        <v>10</v>
      </c>
      <c r="L23" s="367">
        <f t="shared" si="3"/>
        <v>10</v>
      </c>
      <c r="M23" s="368">
        <f>IF(ISBLANK('Ballot Entry'!D63),9999,'Ballot Entry'!D63)</f>
        <v>9999</v>
      </c>
      <c r="N23" s="368">
        <f>IF(ISBLANK('Ballot Entry'!F63),9999,'Ballot Entry'!F63)</f>
        <v>9999</v>
      </c>
      <c r="O23" s="367">
        <f>IF('Ballot Entry'!H63="p",'Ballot Entry'!I63,'Ballot Entry'!I63*-1)</f>
        <v>0</v>
      </c>
      <c r="P23" s="367">
        <f>IF('Ballot Entry'!H64="p",'Ballot Entry'!I64,'Ballot Entry'!I64*-1)</f>
        <v>0</v>
      </c>
      <c r="Q23" s="369">
        <f>IF('Ballot Entry'!H65="p",'Ballot Entry'!I65,'Ballot Entry'!I65*-1)</f>
        <v>0</v>
      </c>
      <c r="R23" s="57"/>
      <c r="S23" s="57"/>
      <c r="T23" s="149">
        <f t="shared" si="4"/>
        <v>200</v>
      </c>
      <c r="U23" s="98">
        <f>'Tournament Info'!C35</f>
        <v>0</v>
      </c>
      <c r="V23" s="32" t="s">
        <v>114</v>
      </c>
      <c r="W23" s="99">
        <f>'Tournament Info'!B35</f>
        <v>0</v>
      </c>
      <c r="X23" s="148">
        <f>'Tab Summary'!P70+('Tab Summary'!T70/2)</f>
        <v>0</v>
      </c>
      <c r="Y23" s="31">
        <f>'Tab Summary'!Y70</f>
        <v>0</v>
      </c>
      <c r="Z23" s="148">
        <f>'Tab Summary'!P72</f>
        <v>0</v>
      </c>
      <c r="AA23" s="31">
        <f>'Tab Summary'!Y71</f>
        <v>0</v>
      </c>
      <c r="AB23" s="148">
        <f>'Tab Summary'!R72</f>
        <v>0</v>
      </c>
      <c r="AC23" s="20">
        <f>'Tab Summary'!T72</f>
        <v>0</v>
      </c>
      <c r="AD23" s="360">
        <f>'Tab Summary'!Y71</f>
        <v>0</v>
      </c>
      <c r="AF23" s="95">
        <v>21</v>
      </c>
      <c r="AG23" s="149">
        <f t="shared" si="5"/>
        <v>200</v>
      </c>
      <c r="AH23" s="95">
        <f>MATCH(AG23,'Ballot Entry'!$T$3:$T$72,0)</f>
        <v>19</v>
      </c>
      <c r="AI23" s="57"/>
      <c r="AJ23" s="57"/>
      <c r="AK23" s="57">
        <f>IF(U23&lt;1770,COUNTIF('Tab Summary'!D71:L71,"W")+COUNTIF('Tab Summary'!D71:L71,"T")/2,0)</f>
        <v>0</v>
      </c>
      <c r="AL23" s="57"/>
      <c r="AM23" s="57">
        <f t="shared" si="7"/>
        <v>0</v>
      </c>
      <c r="AN23" s="57">
        <f t="shared" si="1"/>
        <v>0</v>
      </c>
      <c r="AO23" s="57"/>
      <c r="AP23" s="57"/>
    </row>
    <row r="24" spans="1:43" ht="15" thickTop="1" x14ac:dyDescent="0.3">
      <c r="A24" s="62" t="str">
        <f>IF(Teams&gt;=16, "1", "Hide")</f>
        <v>1</v>
      </c>
      <c r="B24" s="387">
        <v>604</v>
      </c>
      <c r="C24" s="279" t="s">
        <v>220</v>
      </c>
      <c r="D24" s="280">
        <v>1489</v>
      </c>
      <c r="E24" s="279" t="s">
        <v>221</v>
      </c>
      <c r="F24" s="76">
        <v>1051</v>
      </c>
      <c r="G24" s="69" t="s">
        <v>49</v>
      </c>
      <c r="H24" s="28" t="s">
        <v>33</v>
      </c>
      <c r="I24" s="245">
        <v>2</v>
      </c>
      <c r="K24" s="366">
        <f t="shared" si="6"/>
        <v>10</v>
      </c>
      <c r="L24" s="367">
        <f t="shared" si="3"/>
        <v>10</v>
      </c>
      <c r="M24" s="368">
        <f>IF(ISBLANK('Ballot Entry'!D66),9999,'Ballot Entry'!D66)</f>
        <v>9999</v>
      </c>
      <c r="N24" s="368">
        <f>IF(ISBLANK('Ballot Entry'!F66),9999,'Ballot Entry'!F66)</f>
        <v>9999</v>
      </c>
      <c r="O24" s="367">
        <f>IF('Ballot Entry'!H66="p",'Ballot Entry'!I66,'Ballot Entry'!I66*-1)</f>
        <v>0</v>
      </c>
      <c r="P24" s="367">
        <f>IF('Ballot Entry'!H67="p",'Ballot Entry'!I67,'Ballot Entry'!I67*-1)</f>
        <v>0</v>
      </c>
      <c r="Q24" s="369">
        <f>IF('Ballot Entry'!H68="p",'Ballot Entry'!I68,'Ballot Entry'!I68*-1)</f>
        <v>0</v>
      </c>
      <c r="R24" s="57"/>
      <c r="S24" s="57"/>
      <c r="T24" s="149">
        <f t="shared" si="4"/>
        <v>200</v>
      </c>
      <c r="U24" s="98">
        <f>'Tournament Info'!C36</f>
        <v>0</v>
      </c>
      <c r="V24" s="32" t="s">
        <v>115</v>
      </c>
      <c r="W24" s="99">
        <f>'Tournament Info'!B36</f>
        <v>0</v>
      </c>
      <c r="X24" s="148">
        <f>'Tab Summary'!P73+('Tab Summary'!T73/2)</f>
        <v>0</v>
      </c>
      <c r="Y24" s="31">
        <f>'Tab Summary'!Y73</f>
        <v>0</v>
      </c>
      <c r="Z24" s="148">
        <f>'Tab Summary'!P75</f>
        <v>0</v>
      </c>
      <c r="AA24" s="31">
        <f>'Tab Summary'!Y74</f>
        <v>0</v>
      </c>
      <c r="AB24" s="148">
        <f>'Tab Summary'!R75</f>
        <v>0</v>
      </c>
      <c r="AC24" s="20">
        <f>'Tab Summary'!T75</f>
        <v>0</v>
      </c>
      <c r="AD24" s="360">
        <f>'Tab Summary'!Y74</f>
        <v>0</v>
      </c>
      <c r="AF24" s="95">
        <v>22</v>
      </c>
      <c r="AG24" s="149">
        <f t="shared" si="5"/>
        <v>200</v>
      </c>
      <c r="AH24" s="95">
        <f>MATCH(AG24,'Ballot Entry'!$T$3:$T$72,0)</f>
        <v>19</v>
      </c>
      <c r="AI24" s="57"/>
      <c r="AJ24" s="57"/>
      <c r="AK24" s="57">
        <f>IF(U24&lt;1770,COUNTIF('Tab Summary'!D74:L74,"W")+COUNTIF('Tab Summary'!D74:L74,"T")/2,0)</f>
        <v>0</v>
      </c>
      <c r="AL24" s="57"/>
      <c r="AM24" s="57">
        <f t="shared" si="7"/>
        <v>0</v>
      </c>
      <c r="AN24" s="57">
        <f t="shared" si="1"/>
        <v>0</v>
      </c>
      <c r="AO24" s="57"/>
      <c r="AP24" s="57"/>
    </row>
    <row r="25" spans="1:43" x14ac:dyDescent="0.2">
      <c r="A25" s="63" t="str">
        <f>IF(Teams&gt;=16, "1", "Hide")</f>
        <v>1</v>
      </c>
      <c r="B25" s="386"/>
      <c r="G25" s="68" t="s">
        <v>50</v>
      </c>
      <c r="H25" s="29" t="s">
        <v>47</v>
      </c>
      <c r="I25" s="246">
        <v>4</v>
      </c>
      <c r="K25" s="366">
        <f t="shared" si="6"/>
        <v>10</v>
      </c>
      <c r="L25" s="367">
        <f t="shared" si="3"/>
        <v>10</v>
      </c>
      <c r="M25" s="368">
        <f>IF(ISBLANK('Ballot Entry'!D69),9999,'Ballot Entry'!D69)</f>
        <v>9999</v>
      </c>
      <c r="N25" s="368">
        <f>IF(ISBLANK('Ballot Entry'!F69),9999,'Ballot Entry'!F69)</f>
        <v>9999</v>
      </c>
      <c r="O25" s="367">
        <f>IF('Ballot Entry'!H69="p",'Ballot Entry'!I69,'Ballot Entry'!I69*-1)</f>
        <v>0</v>
      </c>
      <c r="P25" s="367">
        <f>IF('Ballot Entry'!H70="p",'Ballot Entry'!I70,'Ballot Entry'!I70*-1)</f>
        <v>0</v>
      </c>
      <c r="Q25" s="369">
        <f>IF('Ballot Entry'!H71="p",'Ballot Entry'!I71,'Ballot Entry'!I71*-1)</f>
        <v>0</v>
      </c>
      <c r="R25" s="57"/>
      <c r="S25" s="57"/>
      <c r="T25" s="149">
        <f t="shared" si="4"/>
        <v>200</v>
      </c>
      <c r="U25" s="98">
        <f>'Tournament Info'!C37</f>
        <v>0</v>
      </c>
      <c r="V25" s="32" t="s">
        <v>116</v>
      </c>
      <c r="W25" s="99">
        <f>'Tournament Info'!B37</f>
        <v>0</v>
      </c>
      <c r="X25" s="148">
        <f>'Tab Summary'!P76+('Tab Summary'!T76/2)</f>
        <v>0</v>
      </c>
      <c r="Y25" s="31">
        <f>'Tab Summary'!Y76</f>
        <v>0</v>
      </c>
      <c r="Z25" s="148">
        <f>'Tab Summary'!P78</f>
        <v>0</v>
      </c>
      <c r="AA25" s="31">
        <f>'Tab Summary'!Y77</f>
        <v>0</v>
      </c>
      <c r="AB25" s="148">
        <f>'Tab Summary'!R78</f>
        <v>0</v>
      </c>
      <c r="AC25" s="20">
        <f>'Tab Summary'!T78</f>
        <v>0</v>
      </c>
      <c r="AD25" s="360">
        <f>'Tab Summary'!Y77</f>
        <v>0</v>
      </c>
      <c r="AF25" s="95">
        <v>23</v>
      </c>
      <c r="AG25" s="149">
        <f t="shared" si="5"/>
        <v>200</v>
      </c>
      <c r="AH25" s="95">
        <f>MATCH(AG25,'Ballot Entry'!$T$3:$T$72,0)</f>
        <v>19</v>
      </c>
      <c r="AI25" s="57"/>
      <c r="AJ25" s="57"/>
      <c r="AK25" s="57">
        <f>IF(U25&lt;1770,COUNTIF('Tab Summary'!D77:L77,"W")+COUNTIF('Tab Summary'!D77:L77,"T")/2,0)</f>
        <v>0</v>
      </c>
      <c r="AL25" s="57"/>
      <c r="AM25" s="57">
        <f t="shared" si="7"/>
        <v>0</v>
      </c>
      <c r="AN25" s="57">
        <f t="shared" si="1"/>
        <v>0</v>
      </c>
      <c r="AO25" s="57"/>
      <c r="AP25" s="57"/>
    </row>
    <row r="26" spans="1:43" ht="13.5" thickBot="1" x14ac:dyDescent="0.25">
      <c r="A26" s="64" t="str">
        <f>IF(Teams&gt;=16, IF(Ballots = 3, "1", "Hide"), "Hide")</f>
        <v>Hide</v>
      </c>
      <c r="B26" s="388"/>
      <c r="C26" s="281"/>
      <c r="D26" s="282"/>
      <c r="E26" s="282"/>
      <c r="F26" s="77"/>
      <c r="G26" s="70" t="s">
        <v>51</v>
      </c>
      <c r="H26" s="30"/>
      <c r="I26" s="247"/>
      <c r="K26" s="366">
        <f t="shared" si="6"/>
        <v>10</v>
      </c>
      <c r="L26" s="367">
        <f t="shared" si="3"/>
        <v>10</v>
      </c>
      <c r="M26" s="368">
        <f>IF(ISBLANK('Ballot Entry'!D72),9999,'Ballot Entry'!D72)</f>
        <v>9999</v>
      </c>
      <c r="N26" s="368">
        <f>IF(ISBLANK('Ballot Entry'!F72),9999,'Ballot Entry'!F72)</f>
        <v>9999</v>
      </c>
      <c r="O26" s="367">
        <f>IF('Ballot Entry'!H72="p",'Ballot Entry'!I72,'Ballot Entry'!I72*-1)</f>
        <v>0</v>
      </c>
      <c r="P26" s="367">
        <f>IF('Ballot Entry'!H73="p",'Ballot Entry'!I73,'Ballot Entry'!I73*-1)</f>
        <v>0</v>
      </c>
      <c r="Q26" s="369">
        <f>IF('Ballot Entry'!H74="p",'Ballot Entry'!I74,'Ballot Entry'!I74*-1)</f>
        <v>0</v>
      </c>
      <c r="R26" s="57"/>
      <c r="S26" s="57"/>
      <c r="T26" s="149">
        <f t="shared" ref="T26:T72" si="8">IF(U26&gt;=1770,201,(((X26*10)+IF(Y26&lt;&gt;0,1,0))*10000000000)+(((Z26*10)+IF(AA26&lt;&gt;0,1,0))*10000000)+((AB26*10)*1000)+(AC26+200))</f>
        <v>200</v>
      </c>
      <c r="U26" s="98">
        <f>'Tournament Info'!C38</f>
        <v>0</v>
      </c>
      <c r="V26" s="32" t="s">
        <v>117</v>
      </c>
      <c r="W26" s="99">
        <f>'Tournament Info'!B38</f>
        <v>0</v>
      </c>
      <c r="X26" s="148">
        <f>'Tab Summary'!P79+('Tab Summary'!T79/2)</f>
        <v>0</v>
      </c>
      <c r="Y26" s="31">
        <f>'Tab Summary'!Y79</f>
        <v>0</v>
      </c>
      <c r="Z26" s="148">
        <f>'Tab Summary'!P81</f>
        <v>0</v>
      </c>
      <c r="AA26" s="31">
        <f>'Tab Summary'!Y80</f>
        <v>0</v>
      </c>
      <c r="AB26" s="148">
        <f>'Tab Summary'!R81</f>
        <v>0</v>
      </c>
      <c r="AC26" s="20">
        <f>'Tab Summary'!T81</f>
        <v>0</v>
      </c>
      <c r="AD26" s="360">
        <f>'Tab Summary'!Y80</f>
        <v>0</v>
      </c>
      <c r="AF26" s="95">
        <v>24</v>
      </c>
      <c r="AG26" s="149">
        <f t="shared" si="5"/>
        <v>200</v>
      </c>
      <c r="AH26" s="95">
        <f>MATCH(AG26,'Ballot Entry'!$T$3:$T$72,0)</f>
        <v>19</v>
      </c>
      <c r="AI26" s="57"/>
      <c r="AJ26" s="57"/>
      <c r="AK26" s="57">
        <f>IF(U26&lt;1770,COUNTIF('Tab Summary'!D80:L80,"W")+COUNTIF('Tab Summary'!D80:L80,"T")/2,0)</f>
        <v>0</v>
      </c>
      <c r="AL26" s="57"/>
      <c r="AM26" s="57">
        <f t="shared" si="7"/>
        <v>0</v>
      </c>
      <c r="AN26" s="57">
        <f t="shared" si="1"/>
        <v>0</v>
      </c>
      <c r="AO26" s="57"/>
      <c r="AP26" s="57"/>
    </row>
    <row r="27" spans="1:43" ht="15" thickTop="1" x14ac:dyDescent="0.3">
      <c r="A27" s="60" t="str">
        <f>IF(Teams&gt;=18, "1", "Hide")</f>
        <v>1</v>
      </c>
      <c r="B27" s="384" t="s">
        <v>444</v>
      </c>
      <c r="C27" s="276" t="s">
        <v>220</v>
      </c>
      <c r="D27" s="384">
        <v>1577</v>
      </c>
      <c r="E27" s="276" t="s">
        <v>221</v>
      </c>
      <c r="F27" s="74">
        <v>1492</v>
      </c>
      <c r="G27" s="67" t="s">
        <v>49</v>
      </c>
      <c r="H27" s="25" t="s">
        <v>33</v>
      </c>
      <c r="I27" s="242">
        <v>3</v>
      </c>
      <c r="K27" s="366">
        <f t="shared" si="6"/>
        <v>10</v>
      </c>
      <c r="L27" s="367">
        <f t="shared" si="3"/>
        <v>10</v>
      </c>
      <c r="M27" s="368">
        <f>IF(ISBLANK('Ballot Entry'!D75),9999,'Ballot Entry'!D75)</f>
        <v>9999</v>
      </c>
      <c r="N27" s="368">
        <f>IF(ISBLANK('Ballot Entry'!F75),9999,'Ballot Entry'!F75)</f>
        <v>9999</v>
      </c>
      <c r="O27" s="367">
        <f>IF('Ballot Entry'!H75="p",'Ballot Entry'!I75,'Ballot Entry'!I75*-1)</f>
        <v>0</v>
      </c>
      <c r="P27" s="367">
        <f>IF('Ballot Entry'!H76="p",'Ballot Entry'!I76,'Ballot Entry'!I76*-1)</f>
        <v>0</v>
      </c>
      <c r="Q27" s="369">
        <f>IF('Ballot Entry'!H77="p",'Ballot Entry'!I77,'Ballot Entry'!I77*-1)</f>
        <v>0</v>
      </c>
      <c r="R27" s="57"/>
      <c r="S27" s="57"/>
      <c r="T27" s="149">
        <f t="shared" si="8"/>
        <v>200</v>
      </c>
      <c r="U27" s="98">
        <f>'Tournament Info'!C39</f>
        <v>0</v>
      </c>
      <c r="V27" s="32" t="s">
        <v>118</v>
      </c>
      <c r="W27" s="99">
        <f>'Tournament Info'!B39</f>
        <v>0</v>
      </c>
      <c r="X27" s="148">
        <f>'Tab Summary'!P82+('Tab Summary'!T82/2)</f>
        <v>0</v>
      </c>
      <c r="Y27" s="31">
        <f>'Tab Summary'!Y82</f>
        <v>0</v>
      </c>
      <c r="Z27" s="148">
        <f>'Tab Summary'!P84</f>
        <v>0</v>
      </c>
      <c r="AA27" s="31">
        <f>'Tab Summary'!Y83</f>
        <v>0</v>
      </c>
      <c r="AB27" s="148">
        <f>'Tab Summary'!R84</f>
        <v>0</v>
      </c>
      <c r="AC27" s="20">
        <f>'Tab Summary'!T84</f>
        <v>0</v>
      </c>
      <c r="AD27" s="360">
        <f>'Tab Summary'!Y83</f>
        <v>0</v>
      </c>
      <c r="AF27" s="95">
        <v>25</v>
      </c>
      <c r="AG27" s="149">
        <f t="shared" si="5"/>
        <v>200</v>
      </c>
      <c r="AH27" s="95">
        <f>MATCH(AG27,'Ballot Entry'!$T$3:$T$72,0)</f>
        <v>19</v>
      </c>
      <c r="AI27" s="57"/>
      <c r="AJ27" s="57"/>
      <c r="AK27" s="57">
        <f>IF(U27&lt;1770,COUNTIF('Tab Summary'!D83:L83,"W")+COUNTIF('Tab Summary'!D83:L83,"T")/2,0)</f>
        <v>0</v>
      </c>
      <c r="AL27" s="57"/>
      <c r="AM27" s="57">
        <f t="shared" si="7"/>
        <v>0</v>
      </c>
      <c r="AN27" s="57">
        <f t="shared" si="1"/>
        <v>0</v>
      </c>
      <c r="AO27" s="57"/>
      <c r="AP27" s="57"/>
    </row>
    <row r="28" spans="1:43" x14ac:dyDescent="0.2">
      <c r="A28" s="61" t="str">
        <f>IF(Teams&gt;=18, "1", "Hide")</f>
        <v>1</v>
      </c>
      <c r="G28" s="68" t="s">
        <v>50</v>
      </c>
      <c r="H28" s="26" t="s">
        <v>33</v>
      </c>
      <c r="I28" s="243">
        <v>7</v>
      </c>
      <c r="K28" s="366">
        <f t="shared" si="6"/>
        <v>10</v>
      </c>
      <c r="L28" s="367">
        <f t="shared" si="3"/>
        <v>10</v>
      </c>
      <c r="M28" s="368">
        <f>IF(ISBLANK('Ballot Entry'!D78),9999,'Ballot Entry'!D78)</f>
        <v>9999</v>
      </c>
      <c r="N28" s="368">
        <f>IF(ISBLANK('Ballot Entry'!F78),9999,'Ballot Entry'!F78)</f>
        <v>9999</v>
      </c>
      <c r="O28" s="367">
        <f>IF('Ballot Entry'!H78="p",'Ballot Entry'!I78,'Ballot Entry'!I78*-1)</f>
        <v>0</v>
      </c>
      <c r="P28" s="367">
        <f>IF('Ballot Entry'!H79="p",'Ballot Entry'!I79,'Ballot Entry'!I79*-1)</f>
        <v>0</v>
      </c>
      <c r="Q28" s="369">
        <f>IF('Ballot Entry'!H80="p",'Ballot Entry'!I80,'Ballot Entry'!I80*-1)</f>
        <v>0</v>
      </c>
      <c r="R28" s="57"/>
      <c r="S28" s="57"/>
      <c r="T28" s="149">
        <f t="shared" si="8"/>
        <v>200</v>
      </c>
      <c r="U28" s="98">
        <f>'Tournament Info'!C40</f>
        <v>0</v>
      </c>
      <c r="V28" s="32" t="s">
        <v>119</v>
      </c>
      <c r="W28" s="99">
        <f>'Tournament Info'!B40</f>
        <v>0</v>
      </c>
      <c r="X28" s="148">
        <f>'Tab Summary'!P85+('Tab Summary'!T85/2)</f>
        <v>0</v>
      </c>
      <c r="Y28" s="31">
        <f>'Tab Summary'!Y85</f>
        <v>0</v>
      </c>
      <c r="Z28" s="148">
        <f>'Tab Summary'!P87</f>
        <v>0</v>
      </c>
      <c r="AA28" s="31">
        <f>'Tab Summary'!Y86</f>
        <v>0</v>
      </c>
      <c r="AB28" s="148">
        <f>'Tab Summary'!R87</f>
        <v>0</v>
      </c>
      <c r="AC28" s="20">
        <f>'Tab Summary'!T87</f>
        <v>0</v>
      </c>
      <c r="AD28" s="360">
        <f>'Tab Summary'!Y86</f>
        <v>0</v>
      </c>
      <c r="AF28" s="95">
        <v>26</v>
      </c>
      <c r="AG28" s="149">
        <f t="shared" si="5"/>
        <v>200</v>
      </c>
      <c r="AH28" s="95">
        <f>MATCH(AG28,'Ballot Entry'!$T$3:$T$72,0)</f>
        <v>19</v>
      </c>
      <c r="AI28" s="57"/>
      <c r="AJ28" s="57"/>
      <c r="AK28" s="57">
        <f>IF(U28&lt;1770,COUNTIF('Tab Summary'!D86:L86,"W")+COUNTIF('Tab Summary'!D86:L86,"T")/2,0)</f>
        <v>0</v>
      </c>
      <c r="AL28" s="57"/>
      <c r="AM28" s="57">
        <f t="shared" si="7"/>
        <v>0</v>
      </c>
      <c r="AN28" s="57">
        <f t="shared" si="1"/>
        <v>0</v>
      </c>
      <c r="AO28" s="57"/>
      <c r="AP28" s="57"/>
    </row>
    <row r="29" spans="1:43" ht="13.5" thickBot="1" x14ac:dyDescent="0.25">
      <c r="A29" s="61" t="str">
        <f>IF(Teams&gt;=18, IF(Ballots = 3, "1", "Hide"), "Hide")</f>
        <v>Hide</v>
      </c>
      <c r="B29" s="386"/>
      <c r="C29" s="277"/>
      <c r="D29" s="278"/>
      <c r="E29" s="278"/>
      <c r="F29" s="75"/>
      <c r="G29" s="68" t="s">
        <v>51</v>
      </c>
      <c r="H29" s="27"/>
      <c r="I29" s="244"/>
      <c r="K29" s="366">
        <f t="shared" si="6"/>
        <v>10</v>
      </c>
      <c r="L29" s="367">
        <f t="shared" si="3"/>
        <v>10</v>
      </c>
      <c r="M29" s="368">
        <f>IF(ISBLANK('Ballot Entry'!D81),9999,'Ballot Entry'!D81)</f>
        <v>9999</v>
      </c>
      <c r="N29" s="368">
        <f>IF(ISBLANK('Ballot Entry'!F81),9999,'Ballot Entry'!F81)</f>
        <v>9999</v>
      </c>
      <c r="O29" s="367">
        <f>IF('Ballot Entry'!H81="p",'Ballot Entry'!I81,'Ballot Entry'!I81*-1)</f>
        <v>0</v>
      </c>
      <c r="P29" s="367">
        <f>IF('Ballot Entry'!H82="p",'Ballot Entry'!I82,'Ballot Entry'!I82*-1)</f>
        <v>0</v>
      </c>
      <c r="Q29" s="369">
        <f>IF('Ballot Entry'!H83="p",'Ballot Entry'!I83,'Ballot Entry'!I83*-1)</f>
        <v>0</v>
      </c>
      <c r="R29" s="57"/>
      <c r="S29" s="57"/>
      <c r="T29" s="149">
        <f t="shared" si="8"/>
        <v>200</v>
      </c>
      <c r="U29" s="98">
        <f>'Tournament Info'!C41</f>
        <v>0</v>
      </c>
      <c r="V29" s="32" t="s">
        <v>120</v>
      </c>
      <c r="W29" s="99">
        <f>'Tournament Info'!B41</f>
        <v>0</v>
      </c>
      <c r="X29" s="148">
        <f>'Tab Summary'!P88+('Tab Summary'!T88/2)</f>
        <v>0</v>
      </c>
      <c r="Y29" s="31">
        <f>'Tab Summary'!Y88</f>
        <v>0</v>
      </c>
      <c r="Z29" s="148">
        <f>'Tab Summary'!P90</f>
        <v>0</v>
      </c>
      <c r="AA29" s="31">
        <f>'Tab Summary'!Y89</f>
        <v>0</v>
      </c>
      <c r="AB29" s="148">
        <f>'Tab Summary'!R90</f>
        <v>0</v>
      </c>
      <c r="AC29" s="20">
        <f>'Tab Summary'!T90</f>
        <v>0</v>
      </c>
      <c r="AD29" s="360">
        <f>'Tab Summary'!Y89</f>
        <v>0</v>
      </c>
      <c r="AF29" s="95">
        <v>27</v>
      </c>
      <c r="AG29" s="149">
        <f t="shared" si="5"/>
        <v>200</v>
      </c>
      <c r="AH29" s="95">
        <f>MATCH(AG29,'Ballot Entry'!$T$3:$T$72,0)</f>
        <v>19</v>
      </c>
      <c r="AI29" s="57"/>
      <c r="AJ29" s="57"/>
      <c r="AK29" s="57">
        <f>IF(U29&lt;1770,COUNTIF('Tab Summary'!D89:L89,"W")+COUNTIF('Tab Summary'!D89:L89,"T")/2,0)</f>
        <v>0</v>
      </c>
      <c r="AL29" s="57"/>
      <c r="AM29" s="57">
        <f t="shared" si="7"/>
        <v>0</v>
      </c>
      <c r="AN29" s="57">
        <f t="shared" si="1"/>
        <v>0</v>
      </c>
      <c r="AO29" s="57"/>
      <c r="AP29" s="57"/>
    </row>
    <row r="30" spans="1:43" ht="15" thickTop="1" x14ac:dyDescent="0.3">
      <c r="A30" s="62" t="str">
        <f>IF(Teams&gt;=20, "1", "Hide")</f>
        <v>Hide</v>
      </c>
      <c r="B30" s="387"/>
      <c r="C30" s="279" t="s">
        <v>220</v>
      </c>
      <c r="D30" s="280"/>
      <c r="E30" s="279" t="s">
        <v>221</v>
      </c>
      <c r="F30" s="76"/>
      <c r="G30" s="69" t="s">
        <v>49</v>
      </c>
      <c r="H30" s="28"/>
      <c r="I30" s="245"/>
      <c r="K30" s="366">
        <f t="shared" si="6"/>
        <v>10</v>
      </c>
      <c r="L30" s="367">
        <f t="shared" si="3"/>
        <v>10</v>
      </c>
      <c r="M30" s="368">
        <f>IF(ISBLANK('Ballot Entry'!D84),9999,'Ballot Entry'!D84)</f>
        <v>9999</v>
      </c>
      <c r="N30" s="368">
        <f>IF(ISBLANK('Ballot Entry'!F84),9999,'Ballot Entry'!F84)</f>
        <v>9999</v>
      </c>
      <c r="O30" s="367">
        <f>IF('Ballot Entry'!H84="p",'Ballot Entry'!I84,'Ballot Entry'!I84*-1)</f>
        <v>0</v>
      </c>
      <c r="P30" s="367">
        <f>IF('Ballot Entry'!H85="p",'Ballot Entry'!I85,'Ballot Entry'!I85*-1)</f>
        <v>0</v>
      </c>
      <c r="Q30" s="369">
        <f>IF('Ballot Entry'!H86="p",'Ballot Entry'!I86,'Ballot Entry'!I86*-1)</f>
        <v>0</v>
      </c>
      <c r="R30" s="57"/>
      <c r="S30" s="57"/>
      <c r="T30" s="149">
        <f t="shared" si="8"/>
        <v>200</v>
      </c>
      <c r="U30" s="98">
        <f>'Tournament Info'!C42</f>
        <v>0</v>
      </c>
      <c r="V30" s="32" t="s">
        <v>121</v>
      </c>
      <c r="W30" s="99">
        <f>'Tournament Info'!B42</f>
        <v>0</v>
      </c>
      <c r="X30" s="148">
        <f>'Tab Summary'!P91+('Tab Summary'!T91/2)</f>
        <v>0</v>
      </c>
      <c r="Y30" s="31">
        <f>'Tab Summary'!Y91</f>
        <v>0</v>
      </c>
      <c r="Z30" s="148">
        <f>'Tab Summary'!P93</f>
        <v>0</v>
      </c>
      <c r="AA30" s="31">
        <f>'Tab Summary'!Y92</f>
        <v>0</v>
      </c>
      <c r="AB30" s="148">
        <f>'Tab Summary'!R93</f>
        <v>0</v>
      </c>
      <c r="AC30" s="20">
        <f>'Tab Summary'!T93</f>
        <v>0</v>
      </c>
      <c r="AD30" s="360">
        <f>'Tab Summary'!Y92</f>
        <v>0</v>
      </c>
      <c r="AF30" s="95">
        <v>28</v>
      </c>
      <c r="AG30" s="149">
        <f t="shared" si="5"/>
        <v>200</v>
      </c>
      <c r="AH30" s="95">
        <f>MATCH(AG30,'Ballot Entry'!$T$3:$T$72,0)</f>
        <v>19</v>
      </c>
      <c r="AI30" s="57"/>
      <c r="AJ30" s="57"/>
      <c r="AK30" s="57">
        <f>IF(U30&lt;1770,COUNTIF('Tab Summary'!D92:L92,"W")+COUNTIF('Tab Summary'!D92:L92,"T")/2,0)</f>
        <v>0</v>
      </c>
      <c r="AL30" s="57"/>
      <c r="AM30" s="57">
        <f t="shared" si="7"/>
        <v>0</v>
      </c>
      <c r="AN30" s="57">
        <f t="shared" si="1"/>
        <v>0</v>
      </c>
      <c r="AO30" s="57"/>
      <c r="AP30" s="57"/>
    </row>
    <row r="31" spans="1:43" x14ac:dyDescent="0.2">
      <c r="A31" s="63" t="str">
        <f>IF(Teams&gt;=20, "1", "Hide")</f>
        <v>Hide</v>
      </c>
      <c r="B31" s="386"/>
      <c r="G31" s="68" t="s">
        <v>50</v>
      </c>
      <c r="H31" s="29"/>
      <c r="I31" s="246"/>
      <c r="K31" s="366">
        <f t="shared" si="6"/>
        <v>10</v>
      </c>
      <c r="L31" s="367">
        <f t="shared" si="3"/>
        <v>10</v>
      </c>
      <c r="M31" s="368">
        <f>IF(ISBLANK('Ballot Entry'!D87),9999,'Ballot Entry'!D87)</f>
        <v>9999</v>
      </c>
      <c r="N31" s="368">
        <f>IF(ISBLANK('Ballot Entry'!F87),9999,'Ballot Entry'!F87)</f>
        <v>9999</v>
      </c>
      <c r="O31" s="367">
        <f>IF('Ballot Entry'!H87="p",'Ballot Entry'!I87,'Ballot Entry'!I87*-1)</f>
        <v>0</v>
      </c>
      <c r="P31" s="367">
        <f>IF('Ballot Entry'!H88="p",'Ballot Entry'!I88,'Ballot Entry'!I88*-1)</f>
        <v>0</v>
      </c>
      <c r="Q31" s="369">
        <f>IF('Ballot Entry'!H89="p",'Ballot Entry'!I89,'Ballot Entry'!I89*-1)</f>
        <v>0</v>
      </c>
      <c r="R31" s="57"/>
      <c r="S31" s="57"/>
      <c r="T31" s="149">
        <f t="shared" si="8"/>
        <v>200</v>
      </c>
      <c r="U31" s="98">
        <f>'Tournament Info'!C43</f>
        <v>0</v>
      </c>
      <c r="V31" s="32" t="s">
        <v>122</v>
      </c>
      <c r="W31" s="99">
        <f>'Tournament Info'!B43</f>
        <v>0</v>
      </c>
      <c r="X31" s="148">
        <f>'Tab Summary'!P94+('Tab Summary'!T94/2)</f>
        <v>0</v>
      </c>
      <c r="Y31" s="31">
        <f>'Tab Summary'!Y94</f>
        <v>0</v>
      </c>
      <c r="Z31" s="148">
        <f>'Tab Summary'!P96</f>
        <v>0</v>
      </c>
      <c r="AA31" s="31">
        <f>'Tab Summary'!Y95</f>
        <v>0</v>
      </c>
      <c r="AB31" s="148">
        <f>'Tab Summary'!R96</f>
        <v>0</v>
      </c>
      <c r="AC31" s="20">
        <f>'Tab Summary'!T96</f>
        <v>0</v>
      </c>
      <c r="AD31" s="360">
        <f>'Tab Summary'!Y95</f>
        <v>0</v>
      </c>
      <c r="AF31" s="95">
        <v>29</v>
      </c>
      <c r="AG31" s="149">
        <f t="shared" si="5"/>
        <v>200</v>
      </c>
      <c r="AH31" s="95">
        <f>MATCH(AG31,'Ballot Entry'!$T$3:$T$72,0)</f>
        <v>19</v>
      </c>
      <c r="AI31" s="57"/>
      <c r="AJ31" s="57"/>
      <c r="AK31" s="57">
        <f>IF(U31&lt;1770,COUNTIF('Tab Summary'!D95:L95,"W")+COUNTIF('Tab Summary'!D95:L95,"T")/2,0)</f>
        <v>0</v>
      </c>
      <c r="AL31" s="57"/>
      <c r="AM31" s="57">
        <f t="shared" si="7"/>
        <v>0</v>
      </c>
      <c r="AN31" s="57">
        <f t="shared" si="1"/>
        <v>0</v>
      </c>
      <c r="AO31" s="57"/>
      <c r="AP31" s="57"/>
    </row>
    <row r="32" spans="1:43" ht="13.5" thickBot="1" x14ac:dyDescent="0.25">
      <c r="A32" s="64" t="str">
        <f>IF(Teams&gt;=20, IF(Ballots = 3, "1", "Hide"), "Hide")</f>
        <v>Hide</v>
      </c>
      <c r="B32" s="388"/>
      <c r="C32" s="281"/>
      <c r="D32" s="282"/>
      <c r="E32" s="282"/>
      <c r="F32" s="77"/>
      <c r="G32" s="70" t="s">
        <v>51</v>
      </c>
      <c r="H32" s="30"/>
      <c r="I32" s="247"/>
      <c r="K32" s="366">
        <f t="shared" si="2"/>
        <v>10</v>
      </c>
      <c r="L32" s="367">
        <f t="shared" si="3"/>
        <v>10</v>
      </c>
      <c r="M32" s="368">
        <f>IF(ISBLANK('Ballot Entry'!D90),9999,'Ballot Entry'!D90)</f>
        <v>9999</v>
      </c>
      <c r="N32" s="368">
        <f>IF(ISBLANK('Ballot Entry'!F90),9999,'Ballot Entry'!F90)</f>
        <v>9999</v>
      </c>
      <c r="O32" s="367">
        <f>IF('Ballot Entry'!H90="p",'Ballot Entry'!I90,'Ballot Entry'!I90*-1)</f>
        <v>0</v>
      </c>
      <c r="P32" s="367">
        <f>IF('Ballot Entry'!H91="p",'Ballot Entry'!I91,'Ballot Entry'!I91*-1)</f>
        <v>0</v>
      </c>
      <c r="Q32" s="369">
        <f>IF('Ballot Entry'!H92="p",'Ballot Entry'!I92,'Ballot Entry'!I92*-1)</f>
        <v>0</v>
      </c>
      <c r="R32" s="57"/>
      <c r="S32" s="57"/>
      <c r="T32" s="149">
        <f t="shared" si="8"/>
        <v>200</v>
      </c>
      <c r="U32" s="98">
        <f>'Tournament Info'!C44</f>
        <v>0</v>
      </c>
      <c r="V32" s="32" t="s">
        <v>123</v>
      </c>
      <c r="W32" s="99">
        <f>'Tournament Info'!B44</f>
        <v>0</v>
      </c>
      <c r="X32" s="148">
        <f>'Tab Summary'!P97+('Tab Summary'!T97/2)</f>
        <v>0</v>
      </c>
      <c r="Y32" s="238">
        <f>'Tab Summary'!Y97</f>
        <v>0</v>
      </c>
      <c r="Z32" s="148">
        <f>'Tab Summary'!P99</f>
        <v>0</v>
      </c>
      <c r="AA32" s="31">
        <f>'Tab Summary'!Y98</f>
        <v>0</v>
      </c>
      <c r="AB32" s="148">
        <f>'Tab Summary'!R99</f>
        <v>0</v>
      </c>
      <c r="AC32" s="20">
        <f>'Tab Summary'!T99</f>
        <v>0</v>
      </c>
      <c r="AD32" s="360">
        <f>'Tab Summary'!Y98</f>
        <v>0</v>
      </c>
      <c r="AF32" s="95">
        <v>30</v>
      </c>
      <c r="AG32" s="149">
        <f t="shared" si="5"/>
        <v>200</v>
      </c>
      <c r="AH32" s="95">
        <f>MATCH(AG32,'Ballot Entry'!$T$3:$T$72,0)</f>
        <v>19</v>
      </c>
      <c r="AI32" s="57"/>
      <c r="AJ32" s="57"/>
      <c r="AK32" s="57">
        <f>IF(U32&lt;1770,COUNTIF('Tab Summary'!D98:L98,"W")+COUNTIF('Tab Summary'!D98:L98,"T")/2,0)</f>
        <v>0</v>
      </c>
      <c r="AL32" s="57"/>
      <c r="AM32" s="57">
        <f t="shared" si="7"/>
        <v>0</v>
      </c>
      <c r="AN32" s="57">
        <f t="shared" si="1"/>
        <v>0</v>
      </c>
      <c r="AO32" s="57"/>
      <c r="AP32" s="57"/>
      <c r="AQ32" s="57"/>
    </row>
    <row r="33" spans="1:44" ht="15" thickTop="1" x14ac:dyDescent="0.3">
      <c r="A33" s="60" t="str">
        <f>IF(Teams&gt;=22, "1", "Hide")</f>
        <v>Hide</v>
      </c>
      <c r="B33" s="384"/>
      <c r="C33" s="276" t="s">
        <v>220</v>
      </c>
      <c r="D33" s="384"/>
      <c r="E33" s="276" t="s">
        <v>221</v>
      </c>
      <c r="F33" s="74"/>
      <c r="G33" s="67" t="s">
        <v>49</v>
      </c>
      <c r="H33" s="25"/>
      <c r="I33" s="242"/>
      <c r="K33" s="366">
        <f t="shared" si="2"/>
        <v>10</v>
      </c>
      <c r="L33" s="367">
        <f t="shared" si="3"/>
        <v>10</v>
      </c>
      <c r="M33" s="368">
        <f>IF(ISBLANK('Ballot Entry'!D93),9999,'Ballot Entry'!D93)</f>
        <v>9999</v>
      </c>
      <c r="N33" s="368">
        <f>IF(ISBLANK('Ballot Entry'!F93),9999,'Ballot Entry'!F93)</f>
        <v>9999</v>
      </c>
      <c r="O33" s="367">
        <f>IF('Ballot Entry'!H93="p",'Ballot Entry'!I93,'Ballot Entry'!I93*-1)</f>
        <v>0</v>
      </c>
      <c r="P33" s="367">
        <f>IF('Ballot Entry'!H94="p",'Ballot Entry'!I94,'Ballot Entry'!I94*-1)</f>
        <v>0</v>
      </c>
      <c r="Q33" s="369">
        <f>IF('Ballot Entry'!H95="p",'Ballot Entry'!I95,'Ballot Entry'!I95*-1)</f>
        <v>0</v>
      </c>
      <c r="R33" s="57"/>
      <c r="S33" s="57"/>
      <c r="T33" s="149">
        <f t="shared" si="8"/>
        <v>200</v>
      </c>
      <c r="U33" s="98">
        <f>'Tournament Info'!C45</f>
        <v>0</v>
      </c>
      <c r="V33" s="32" t="s">
        <v>124</v>
      </c>
      <c r="W33" s="99">
        <f>'Tournament Info'!B45</f>
        <v>0</v>
      </c>
      <c r="X33" s="148">
        <f>'Tab Summary'!P102+('Tab Summary'!T102/2)</f>
        <v>0</v>
      </c>
      <c r="Y33" s="31">
        <f>'Tab Summary'!Y102</f>
        <v>0</v>
      </c>
      <c r="Z33" s="148">
        <f>'Tab Summary'!P104</f>
        <v>0</v>
      </c>
      <c r="AA33" s="31">
        <f>'Tab Summary'!Y103</f>
        <v>0</v>
      </c>
      <c r="AB33" s="148">
        <f>'Tab Summary'!R104</f>
        <v>0</v>
      </c>
      <c r="AC33" s="20">
        <f>'Tab Summary'!T104</f>
        <v>0</v>
      </c>
      <c r="AD33" s="360">
        <f>'Tab Summary'!Y103</f>
        <v>0</v>
      </c>
      <c r="AF33" s="95">
        <v>31</v>
      </c>
      <c r="AG33" s="149">
        <f t="shared" si="5"/>
        <v>200</v>
      </c>
      <c r="AH33" s="95">
        <f>MATCH(AG33,'Ballot Entry'!$T$3:$T$72,0)</f>
        <v>19</v>
      </c>
      <c r="AI33" s="57"/>
      <c r="AJ33" s="57"/>
      <c r="AK33" s="57">
        <f>IF(U33&lt;1770,COUNTIF('Tab Summary'!D103:L103,"W")+COUNTIF('Tab Summary'!D103:L103,"T")/2,0)</f>
        <v>0</v>
      </c>
      <c r="AL33" s="57"/>
      <c r="AM33" s="57">
        <f t="shared" si="7"/>
        <v>0</v>
      </c>
      <c r="AN33" s="57">
        <f t="shared" si="1"/>
        <v>0</v>
      </c>
      <c r="AO33" s="57"/>
      <c r="AP33" s="57"/>
      <c r="AQ33" s="57"/>
    </row>
    <row r="34" spans="1:44" x14ac:dyDescent="0.2">
      <c r="A34" s="61" t="str">
        <f>IF(Teams&gt;=22, "1", "Hide")</f>
        <v>Hide</v>
      </c>
      <c r="G34" s="68" t="s">
        <v>50</v>
      </c>
      <c r="H34" s="26"/>
      <c r="I34" s="243"/>
      <c r="K34" s="366">
        <f t="shared" si="2"/>
        <v>10</v>
      </c>
      <c r="L34" s="367">
        <f t="shared" si="3"/>
        <v>10</v>
      </c>
      <c r="M34" s="368">
        <f>IF(ISBLANK('Ballot Entry'!D96),9999,'Ballot Entry'!D96)</f>
        <v>9999</v>
      </c>
      <c r="N34" s="368">
        <f>IF(ISBLANK('Ballot Entry'!F96),9999,'Ballot Entry'!F96)</f>
        <v>9999</v>
      </c>
      <c r="O34" s="367">
        <f>IF('Ballot Entry'!H96="p",'Ballot Entry'!I96,'Ballot Entry'!I96*-1)</f>
        <v>0</v>
      </c>
      <c r="P34" s="367">
        <f>IF('Ballot Entry'!H97="p",'Ballot Entry'!I97,'Ballot Entry'!I97*-1)</f>
        <v>0</v>
      </c>
      <c r="Q34" s="369">
        <f>IF('Ballot Entry'!H98="p",'Ballot Entry'!I98,'Ballot Entry'!I98*-1)</f>
        <v>0</v>
      </c>
      <c r="R34" s="57"/>
      <c r="S34" s="57"/>
      <c r="T34" s="149">
        <f t="shared" si="8"/>
        <v>200</v>
      </c>
      <c r="U34" s="98">
        <f>'Tournament Info'!C46</f>
        <v>0</v>
      </c>
      <c r="V34" s="32" t="s">
        <v>125</v>
      </c>
      <c r="W34" s="99">
        <f>'Tournament Info'!B46</f>
        <v>0</v>
      </c>
      <c r="X34" s="148">
        <f>'Tab Summary'!P105+('Tab Summary'!T105/2)</f>
        <v>0</v>
      </c>
      <c r="Y34" s="31">
        <f>'Tab Summary'!Y105</f>
        <v>0</v>
      </c>
      <c r="Z34" s="148">
        <f>'Tab Summary'!P107</f>
        <v>0</v>
      </c>
      <c r="AA34" s="31">
        <f>'Tab Summary'!Y106</f>
        <v>0</v>
      </c>
      <c r="AB34" s="148">
        <f>'Tab Summary'!R107</f>
        <v>0</v>
      </c>
      <c r="AC34" s="20">
        <f>'Tab Summary'!T107</f>
        <v>0</v>
      </c>
      <c r="AD34" s="360">
        <f>'Tab Summary'!Y106</f>
        <v>0</v>
      </c>
      <c r="AF34" s="95">
        <v>32</v>
      </c>
      <c r="AG34" s="149">
        <f t="shared" si="5"/>
        <v>200</v>
      </c>
      <c r="AH34" s="95">
        <f>MATCH(AG34,'Ballot Entry'!$T$3:$T$72,0)</f>
        <v>19</v>
      </c>
      <c r="AI34" s="57"/>
      <c r="AJ34" s="57"/>
      <c r="AK34" s="57">
        <f>IF(U34&lt;1770,COUNTIF('Tab Summary'!D106:L106,"W")+COUNTIF('Tab Summary'!D106:L106,"T")/2,0)</f>
        <v>0</v>
      </c>
      <c r="AL34" s="57"/>
      <c r="AM34" s="57">
        <f t="shared" si="7"/>
        <v>0</v>
      </c>
      <c r="AN34" s="57">
        <f t="shared" si="1"/>
        <v>0</v>
      </c>
      <c r="AO34" s="57"/>
      <c r="AP34" s="57"/>
      <c r="AQ34" s="57"/>
    </row>
    <row r="35" spans="1:44" ht="13.5" thickBot="1" x14ac:dyDescent="0.25">
      <c r="A35" s="61" t="str">
        <f>IF(Teams&gt;=22, IF(Ballots = 3, "1", "Hide"), "Hide")</f>
        <v>Hide</v>
      </c>
      <c r="B35" s="386"/>
      <c r="C35" s="277"/>
      <c r="D35" s="278"/>
      <c r="E35" s="278"/>
      <c r="F35" s="75"/>
      <c r="G35" s="68" t="s">
        <v>51</v>
      </c>
      <c r="H35" s="27"/>
      <c r="I35" s="244"/>
      <c r="K35" s="366">
        <f t="shared" si="2"/>
        <v>10</v>
      </c>
      <c r="L35" s="367">
        <f t="shared" si="3"/>
        <v>10</v>
      </c>
      <c r="M35" s="368">
        <f>IF(ISBLANK('Ballot Entry'!D99),9999,'Ballot Entry'!D99)</f>
        <v>9999</v>
      </c>
      <c r="N35" s="368">
        <f>IF(ISBLANK('Ballot Entry'!F99),9999,'Ballot Entry'!F99)</f>
        <v>9999</v>
      </c>
      <c r="O35" s="367">
        <f>IF('Ballot Entry'!H99="p",'Ballot Entry'!I99,'Ballot Entry'!I99*-1)</f>
        <v>0</v>
      </c>
      <c r="P35" s="367">
        <f>IF('Ballot Entry'!H100="p",'Ballot Entry'!I100,'Ballot Entry'!I100*-1)</f>
        <v>0</v>
      </c>
      <c r="Q35" s="369">
        <f>IF('Ballot Entry'!H101="p",'Ballot Entry'!I101,'Ballot Entry'!I101*-1)</f>
        <v>0</v>
      </c>
      <c r="R35" s="57"/>
      <c r="S35" s="57"/>
      <c r="T35" s="149">
        <f t="shared" si="8"/>
        <v>200</v>
      </c>
      <c r="U35" s="98">
        <f>'Tournament Info'!C47</f>
        <v>0</v>
      </c>
      <c r="V35" s="32" t="s">
        <v>126</v>
      </c>
      <c r="W35" s="99">
        <f>'Tournament Info'!B47</f>
        <v>0</v>
      </c>
      <c r="X35" s="148">
        <f>'Tab Summary'!P108+('Tab Summary'!T108/2)</f>
        <v>0</v>
      </c>
      <c r="Y35" s="31">
        <f>'Tab Summary'!Y108</f>
        <v>0</v>
      </c>
      <c r="Z35" s="148">
        <f>'Tab Summary'!P110</f>
        <v>0</v>
      </c>
      <c r="AA35" s="31">
        <f>'Tab Summary'!Y109</f>
        <v>0</v>
      </c>
      <c r="AB35" s="148">
        <f>'Tab Summary'!R110</f>
        <v>0</v>
      </c>
      <c r="AC35" s="20">
        <f>'Tab Summary'!T110</f>
        <v>0</v>
      </c>
      <c r="AD35" s="360">
        <f>'Tab Summary'!Y109</f>
        <v>0</v>
      </c>
      <c r="AF35" s="95">
        <v>33</v>
      </c>
      <c r="AG35" s="149">
        <f t="shared" si="5"/>
        <v>200</v>
      </c>
      <c r="AH35" s="95">
        <f>MATCH(AG35,'Ballot Entry'!$T$3:$T$72,0)</f>
        <v>19</v>
      </c>
      <c r="AI35" s="57"/>
      <c r="AJ35" s="57"/>
      <c r="AK35" s="57">
        <f>IF(U35&lt;1770,COUNTIF('Tab Summary'!D109:L109,"W")+COUNTIF('Tab Summary'!D109:L109,"T")/2,0)</f>
        <v>0</v>
      </c>
      <c r="AL35" s="57"/>
      <c r="AM35" s="57">
        <f t="shared" si="7"/>
        <v>0</v>
      </c>
      <c r="AN35" s="57">
        <f t="shared" si="1"/>
        <v>0</v>
      </c>
      <c r="AO35" s="57"/>
      <c r="AP35" s="57"/>
      <c r="AQ35" s="57"/>
    </row>
    <row r="36" spans="1:44" ht="15" thickTop="1" x14ac:dyDescent="0.3">
      <c r="A36" s="62" t="str">
        <f>IF(Teams&gt;=24, "1", "Hide")</f>
        <v>Hide</v>
      </c>
      <c r="B36" s="387"/>
      <c r="C36" s="279" t="s">
        <v>220</v>
      </c>
      <c r="D36" s="280"/>
      <c r="E36" s="279" t="s">
        <v>221</v>
      </c>
      <c r="F36" s="76"/>
      <c r="G36" s="69" t="s">
        <v>49</v>
      </c>
      <c r="H36" s="28"/>
      <c r="I36" s="245"/>
      <c r="K36" s="366">
        <f t="shared" si="2"/>
        <v>10</v>
      </c>
      <c r="L36" s="367">
        <f t="shared" si="3"/>
        <v>10</v>
      </c>
      <c r="M36" s="368">
        <f>IF(ISBLANK('Ballot Entry'!D102),9999,'Ballot Entry'!D102)</f>
        <v>9999</v>
      </c>
      <c r="N36" s="368">
        <f>IF(ISBLANK('Ballot Entry'!F102),9999,'Ballot Entry'!F102)</f>
        <v>9999</v>
      </c>
      <c r="O36" s="367">
        <f>IF('Ballot Entry'!H102="p",'Ballot Entry'!I102,'Ballot Entry'!I102*-1)</f>
        <v>0</v>
      </c>
      <c r="P36" s="367">
        <f>IF('Ballot Entry'!H103="p",'Ballot Entry'!I103,'Ballot Entry'!I103*-1)</f>
        <v>0</v>
      </c>
      <c r="Q36" s="369">
        <f>IF('Ballot Entry'!H104="p",'Ballot Entry'!I104,'Ballot Entry'!I104*-1)</f>
        <v>0</v>
      </c>
      <c r="R36" s="57"/>
      <c r="S36" s="57"/>
      <c r="T36" s="149">
        <f t="shared" si="8"/>
        <v>200</v>
      </c>
      <c r="U36" s="98">
        <f>'Tournament Info'!C48</f>
        <v>0</v>
      </c>
      <c r="V36" s="32" t="s">
        <v>127</v>
      </c>
      <c r="W36" s="99">
        <f>'Tournament Info'!B48</f>
        <v>0</v>
      </c>
      <c r="X36" s="148">
        <f>'Tab Summary'!P111+('Tab Summary'!T111/2)</f>
        <v>0</v>
      </c>
      <c r="Y36" s="31">
        <f>'Tab Summary'!Y111</f>
        <v>0</v>
      </c>
      <c r="Z36" s="148">
        <f>'Tab Summary'!P113</f>
        <v>0</v>
      </c>
      <c r="AA36" s="31">
        <f>'Tab Summary'!Y112</f>
        <v>0</v>
      </c>
      <c r="AB36" s="148">
        <f>'Tab Summary'!R113</f>
        <v>0</v>
      </c>
      <c r="AC36" s="20">
        <f>'Tab Summary'!T113</f>
        <v>0</v>
      </c>
      <c r="AD36" s="360">
        <f>'Tab Summary'!Y112</f>
        <v>0</v>
      </c>
      <c r="AF36" s="95">
        <v>34</v>
      </c>
      <c r="AG36" s="149">
        <f t="shared" si="5"/>
        <v>200</v>
      </c>
      <c r="AH36" s="95">
        <f>MATCH(AG36,'Ballot Entry'!$T$3:$T$72,0)</f>
        <v>19</v>
      </c>
      <c r="AI36" s="57"/>
      <c r="AJ36" s="57"/>
      <c r="AK36" s="57">
        <f>IF(U36&lt;1770,COUNTIF('Tab Summary'!D112:L112,"W")+COUNTIF('Tab Summary'!D112:L112,"T")/2,0)</f>
        <v>0</v>
      </c>
      <c r="AL36" s="57"/>
      <c r="AM36" s="57">
        <f t="shared" si="7"/>
        <v>0</v>
      </c>
      <c r="AN36" s="57">
        <f t="shared" si="1"/>
        <v>0</v>
      </c>
      <c r="AO36" s="57"/>
      <c r="AP36" s="57"/>
      <c r="AQ36" s="57"/>
    </row>
    <row r="37" spans="1:44" x14ac:dyDescent="0.2">
      <c r="A37" s="63" t="str">
        <f>IF(Teams&gt;=24, "1", "Hide")</f>
        <v>Hide</v>
      </c>
      <c r="B37" s="386"/>
      <c r="G37" s="68" t="s">
        <v>50</v>
      </c>
      <c r="H37" s="29"/>
      <c r="I37" s="246"/>
      <c r="J37" s="101"/>
      <c r="K37" s="366">
        <f t="shared" si="2"/>
        <v>10</v>
      </c>
      <c r="L37" s="367">
        <f t="shared" si="3"/>
        <v>10</v>
      </c>
      <c r="M37" s="368">
        <f>IF(ISBLANK('Ballot Entry'!D105),9999,'Ballot Entry'!D105)</f>
        <v>9999</v>
      </c>
      <c r="N37" s="368">
        <f>IF(ISBLANK('Ballot Entry'!F105),9999,'Ballot Entry'!F105)</f>
        <v>9999</v>
      </c>
      <c r="O37" s="367">
        <f>IF('Ballot Entry'!H105="p",'Ballot Entry'!I105,'Ballot Entry'!I105*-1)</f>
        <v>0</v>
      </c>
      <c r="P37" s="367">
        <f>IF('Ballot Entry'!H106="p",'Ballot Entry'!I106,'Ballot Entry'!I106*-1)</f>
        <v>0</v>
      </c>
      <c r="Q37" s="369">
        <f>IF('Ballot Entry'!H107="p",'Ballot Entry'!I107,'Ballot Entry'!I107*-1)</f>
        <v>0</v>
      </c>
      <c r="R37" s="57"/>
      <c r="S37" s="57"/>
      <c r="T37" s="149">
        <f t="shared" si="8"/>
        <v>200</v>
      </c>
      <c r="U37" s="98">
        <f>'Tournament Info'!C49</f>
        <v>0</v>
      </c>
      <c r="V37" s="32" t="s">
        <v>128</v>
      </c>
      <c r="W37" s="99">
        <f>'Tournament Info'!B49</f>
        <v>0</v>
      </c>
      <c r="X37" s="148">
        <f>'Tab Summary'!P114+('Tab Summary'!T114/2)</f>
        <v>0</v>
      </c>
      <c r="Y37" s="31">
        <f>'Tab Summary'!Y114</f>
        <v>0</v>
      </c>
      <c r="Z37" s="148">
        <f>'Tab Summary'!P116</f>
        <v>0</v>
      </c>
      <c r="AA37" s="31">
        <f>'Tab Summary'!Y115</f>
        <v>0</v>
      </c>
      <c r="AB37" s="148">
        <f>'Tab Summary'!R116</f>
        <v>0</v>
      </c>
      <c r="AC37" s="20">
        <f>'Tab Summary'!T116</f>
        <v>0</v>
      </c>
      <c r="AD37" s="360">
        <f>'Tab Summary'!Y115</f>
        <v>0</v>
      </c>
      <c r="AF37" s="95">
        <v>35</v>
      </c>
      <c r="AG37" s="149">
        <f t="shared" si="5"/>
        <v>200</v>
      </c>
      <c r="AH37" s="95">
        <f>MATCH(AG37,'Ballot Entry'!$T$3:$T$72,0)</f>
        <v>19</v>
      </c>
      <c r="AI37" s="57"/>
      <c r="AJ37" s="57"/>
      <c r="AK37" s="57">
        <f>IF(U37&lt;1770,COUNTIF('Tab Summary'!D115:L115,"W")+COUNTIF('Tab Summary'!D115:L115,"T")/2,0)</f>
        <v>0</v>
      </c>
      <c r="AL37" s="57"/>
      <c r="AM37" s="57">
        <f t="shared" si="7"/>
        <v>0</v>
      </c>
      <c r="AN37" s="57">
        <f t="shared" si="1"/>
        <v>0</v>
      </c>
      <c r="AO37" s="57"/>
      <c r="AP37" s="57"/>
      <c r="AQ37" s="57"/>
    </row>
    <row r="38" spans="1:44" ht="13.5" thickBot="1" x14ac:dyDescent="0.25">
      <c r="A38" s="64" t="str">
        <f>IF(Teams&gt;=24, IF(Ballots = 3, "1", "Hide"), "Hide")</f>
        <v>Hide</v>
      </c>
      <c r="B38" s="388"/>
      <c r="C38" s="281"/>
      <c r="D38" s="282"/>
      <c r="E38" s="282"/>
      <c r="F38" s="77"/>
      <c r="G38" s="70" t="s">
        <v>51</v>
      </c>
      <c r="H38" s="30"/>
      <c r="I38" s="247"/>
      <c r="K38" s="370">
        <v>1</v>
      </c>
      <c r="L38" s="371">
        <f>MATCH(K38,'Ballot Entry'!$K$3:$K$37,0)</f>
        <v>1</v>
      </c>
      <c r="M38" s="372">
        <f t="shared" ref="M38:M72" si="9">INDEX(Round1,L38,3)</f>
        <v>1029</v>
      </c>
      <c r="N38" s="372">
        <f t="shared" ref="N38:N72" si="10">INDEX(Round1,$L38,4)</f>
        <v>1001</v>
      </c>
      <c r="O38" s="372">
        <f t="shared" ref="O38:O72" si="11">INDEX(Round1,$L38,5)</f>
        <v>0</v>
      </c>
      <c r="P38" s="372">
        <f t="shared" ref="P38:P72" si="12">INDEX(Round1,$L38,6)</f>
        <v>-4</v>
      </c>
      <c r="Q38" s="373">
        <f t="shared" ref="Q38:Q72" si="13">INDEX(Round1,$L38,7)</f>
        <v>0</v>
      </c>
      <c r="R38" s="57"/>
      <c r="S38" s="57"/>
      <c r="T38" s="149">
        <f t="shared" si="8"/>
        <v>200</v>
      </c>
      <c r="U38" s="98">
        <f>'Tournament Info'!C50</f>
        <v>0</v>
      </c>
      <c r="V38" s="32" t="s">
        <v>129</v>
      </c>
      <c r="W38" s="99">
        <f>'Tournament Info'!B50</f>
        <v>0</v>
      </c>
      <c r="X38" s="148">
        <f>'Tab Summary'!P117+('Tab Summary'!T117/2)</f>
        <v>0</v>
      </c>
      <c r="Y38" s="31">
        <f>'Tab Summary'!Y117</f>
        <v>0</v>
      </c>
      <c r="Z38" s="148">
        <f>'Tab Summary'!P119</f>
        <v>0</v>
      </c>
      <c r="AA38" s="31">
        <f>'Tab Summary'!Y118</f>
        <v>0</v>
      </c>
      <c r="AB38" s="148">
        <f>'Tab Summary'!R119</f>
        <v>0</v>
      </c>
      <c r="AC38" s="20">
        <f>'Tab Summary'!T119</f>
        <v>0</v>
      </c>
      <c r="AD38" s="360">
        <f>'Tab Summary'!Y118</f>
        <v>0</v>
      </c>
      <c r="AF38" s="95">
        <v>36</v>
      </c>
      <c r="AG38" s="149">
        <f t="shared" si="5"/>
        <v>200</v>
      </c>
      <c r="AH38" s="95">
        <f>MATCH(AG38,'Ballot Entry'!$T$3:$T$72,0)</f>
        <v>19</v>
      </c>
      <c r="AI38" s="57"/>
      <c r="AJ38" s="57"/>
      <c r="AK38" s="57">
        <f>IF(U38&lt;1770,COUNTIF('Tab Summary'!D118:L118,"W")+COUNTIF('Tab Summary'!D118:L118,"T")/2,0)</f>
        <v>0</v>
      </c>
      <c r="AL38" s="57"/>
      <c r="AM38" s="57">
        <f t="shared" si="7"/>
        <v>0</v>
      </c>
      <c r="AN38" s="57">
        <f t="shared" si="1"/>
        <v>0</v>
      </c>
      <c r="AO38" s="57"/>
      <c r="AP38" s="57"/>
      <c r="AQ38" s="57"/>
    </row>
    <row r="39" spans="1:44" ht="15" thickTop="1" x14ac:dyDescent="0.3">
      <c r="A39" s="60" t="str">
        <f>IF(Teams&gt;=26, "1", "Hide")</f>
        <v>Hide</v>
      </c>
      <c r="B39" s="384"/>
      <c r="C39" s="276" t="s">
        <v>220</v>
      </c>
      <c r="D39" s="384"/>
      <c r="E39" s="276" t="s">
        <v>221</v>
      </c>
      <c r="F39" s="74"/>
      <c r="G39" s="67" t="s">
        <v>49</v>
      </c>
      <c r="H39" s="25"/>
      <c r="I39" s="242"/>
      <c r="K39" s="366">
        <v>2</v>
      </c>
      <c r="L39" s="367">
        <f>MATCH(K39,'Ballot Entry'!$K$3:$K$37,0)</f>
        <v>7</v>
      </c>
      <c r="M39" s="368">
        <f t="shared" si="9"/>
        <v>1258</v>
      </c>
      <c r="N39" s="368">
        <f t="shared" si="10"/>
        <v>1217</v>
      </c>
      <c r="O39" s="368">
        <f t="shared" si="11"/>
        <v>6</v>
      </c>
      <c r="P39" s="368">
        <f t="shared" si="12"/>
        <v>7</v>
      </c>
      <c r="Q39" s="374">
        <f t="shared" si="13"/>
        <v>0</v>
      </c>
      <c r="R39" s="57"/>
      <c r="S39" s="57"/>
      <c r="T39" s="149">
        <f t="shared" si="8"/>
        <v>200</v>
      </c>
      <c r="U39" s="98">
        <f>'Tournament Info'!C51</f>
        <v>0</v>
      </c>
      <c r="V39" s="32" t="s">
        <v>130</v>
      </c>
      <c r="W39" s="99">
        <f>'Tournament Info'!B51</f>
        <v>0</v>
      </c>
      <c r="X39" s="148">
        <f>'Tab Summary'!P120+('Tab Summary'!T120/2)</f>
        <v>0</v>
      </c>
      <c r="Y39" s="31">
        <f>'Tab Summary'!Y120</f>
        <v>0</v>
      </c>
      <c r="Z39" s="148">
        <f>'Tab Summary'!P122</f>
        <v>0</v>
      </c>
      <c r="AA39" s="31">
        <f>'Tab Summary'!Y121</f>
        <v>0</v>
      </c>
      <c r="AB39" s="148">
        <f>'Tab Summary'!R122</f>
        <v>0</v>
      </c>
      <c r="AC39" s="20">
        <f>'Tab Summary'!T122</f>
        <v>0</v>
      </c>
      <c r="AD39" s="360">
        <f>'Tab Summary'!Y121</f>
        <v>0</v>
      </c>
      <c r="AE39" s="100"/>
      <c r="AF39" s="95">
        <v>37</v>
      </c>
      <c r="AG39" s="149">
        <f t="shared" ref="AG39:AG72" si="14">LARGE(Sort,AF39)</f>
        <v>200</v>
      </c>
      <c r="AH39" s="95">
        <f>MATCH(AG39,'Ballot Entry'!$T$3:$T$72,0)</f>
        <v>19</v>
      </c>
      <c r="AI39" s="57"/>
      <c r="AJ39" s="57"/>
      <c r="AK39" s="57">
        <f>IF(U39&lt;1770,COUNTIF('Tab Summary'!D121:L121,"W")+COUNTIF('Tab Summary'!D121:L121,"T")/2,0)</f>
        <v>0</v>
      </c>
      <c r="AL39" s="57"/>
      <c r="AM39" s="57">
        <f t="shared" si="7"/>
        <v>0</v>
      </c>
      <c r="AN39" s="57">
        <f t="shared" si="1"/>
        <v>0</v>
      </c>
      <c r="AO39" s="57"/>
      <c r="AP39" s="57"/>
      <c r="AQ39" s="57"/>
    </row>
    <row r="40" spans="1:44" x14ac:dyDescent="0.2">
      <c r="A40" s="61" t="str">
        <f>IF(Teams&gt;=26, "1", "Hide")</f>
        <v>Hide</v>
      </c>
      <c r="G40" s="68" t="s">
        <v>50</v>
      </c>
      <c r="H40" s="26"/>
      <c r="I40" s="243"/>
      <c r="K40" s="366">
        <v>3</v>
      </c>
      <c r="L40" s="367">
        <f>MATCH(K40,'Ballot Entry'!$K$3:$K$37,0)</f>
        <v>6</v>
      </c>
      <c r="M40" s="368">
        <f t="shared" si="9"/>
        <v>1262</v>
      </c>
      <c r="N40" s="368">
        <f t="shared" si="10"/>
        <v>1693</v>
      </c>
      <c r="O40" s="368">
        <f t="shared" si="11"/>
        <v>2</v>
      </c>
      <c r="P40" s="368">
        <f t="shared" si="12"/>
        <v>13</v>
      </c>
      <c r="Q40" s="374">
        <f t="shared" si="13"/>
        <v>0</v>
      </c>
      <c r="R40" s="57"/>
      <c r="S40" s="57"/>
      <c r="T40" s="149">
        <f t="shared" si="8"/>
        <v>200</v>
      </c>
      <c r="U40" s="98">
        <f>'Tournament Info'!C52</f>
        <v>0</v>
      </c>
      <c r="V40" s="32" t="s">
        <v>131</v>
      </c>
      <c r="W40" s="99">
        <f>'Tournament Info'!B52</f>
        <v>0</v>
      </c>
      <c r="X40" s="148">
        <f>'Tab Summary'!P123+('Tab Summary'!T123/2)</f>
        <v>0</v>
      </c>
      <c r="Y40" s="31">
        <f>'Tab Summary'!Y123</f>
        <v>0</v>
      </c>
      <c r="Z40" s="148">
        <f>'Tab Summary'!P125</f>
        <v>0</v>
      </c>
      <c r="AA40" s="31">
        <f>'Tab Summary'!Y124</f>
        <v>0</v>
      </c>
      <c r="AB40" s="148">
        <f>'Tab Summary'!R125</f>
        <v>0</v>
      </c>
      <c r="AC40" s="20">
        <f>'Tab Summary'!T125</f>
        <v>0</v>
      </c>
      <c r="AD40" s="360">
        <f>'Tab Summary'!Y124</f>
        <v>0</v>
      </c>
      <c r="AE40" s="100"/>
      <c r="AF40" s="95">
        <v>38</v>
      </c>
      <c r="AG40" s="149">
        <f t="shared" si="14"/>
        <v>200</v>
      </c>
      <c r="AH40" s="95">
        <f>MATCH(AG40,'Ballot Entry'!$T$3:$T$72,0)</f>
        <v>19</v>
      </c>
      <c r="AI40" s="57"/>
      <c r="AJ40" s="57"/>
      <c r="AK40" s="57">
        <f>IF(U40&lt;1770,COUNTIF('Tab Summary'!D124:L124,"W")+COUNTIF('Tab Summary'!D124:L124,"T")/2,0)</f>
        <v>0</v>
      </c>
      <c r="AL40" s="57"/>
      <c r="AM40" s="57">
        <f t="shared" si="7"/>
        <v>0</v>
      </c>
      <c r="AN40" s="57">
        <f t="shared" si="1"/>
        <v>0</v>
      </c>
      <c r="AO40" s="57"/>
      <c r="AP40" s="57"/>
      <c r="AQ40" s="57"/>
    </row>
    <row r="41" spans="1:44" ht="13.5" thickBot="1" x14ac:dyDescent="0.25">
      <c r="A41" s="61" t="str">
        <f>IF(Teams&gt;=26, IF(Ballots = 3, "1", "Hide"), "Hide")</f>
        <v>Hide</v>
      </c>
      <c r="B41" s="386"/>
      <c r="C41" s="277"/>
      <c r="D41" s="278"/>
      <c r="E41" s="278"/>
      <c r="F41" s="75"/>
      <c r="G41" s="68" t="s">
        <v>51</v>
      </c>
      <c r="H41" s="27"/>
      <c r="I41" s="244"/>
      <c r="K41" s="366">
        <v>4</v>
      </c>
      <c r="L41" s="367">
        <f>MATCH(K41,'Ballot Entry'!$K$3:$K$37,0)</f>
        <v>2</v>
      </c>
      <c r="M41" s="368">
        <f t="shared" si="9"/>
        <v>1268</v>
      </c>
      <c r="N41" s="368">
        <f t="shared" si="10"/>
        <v>1078</v>
      </c>
      <c r="O41" s="368">
        <f t="shared" si="11"/>
        <v>-10</v>
      </c>
      <c r="P41" s="368">
        <f t="shared" si="12"/>
        <v>-7</v>
      </c>
      <c r="Q41" s="374">
        <f t="shared" si="13"/>
        <v>0</v>
      </c>
      <c r="R41" s="57"/>
      <c r="S41" s="57"/>
      <c r="T41" s="149">
        <f>IF(U41&gt;=1770,201,(((X41*10)+IF(Y41&lt;&gt;0,1,0))*10000000000)+(((Z41*10)+IF(AA41&lt;&gt;0,1,0))*10000000)+((AB41*10)*1000)+(AC41+200))</f>
        <v>200</v>
      </c>
      <c r="U41" s="98">
        <f>'Tournament Info'!C53</f>
        <v>0</v>
      </c>
      <c r="V41" s="32" t="s">
        <v>132</v>
      </c>
      <c r="W41" s="99">
        <f>'Tournament Info'!B53</f>
        <v>0</v>
      </c>
      <c r="X41" s="148">
        <f>'Tab Summary'!P126+('Tab Summary'!T126/2)</f>
        <v>0</v>
      </c>
      <c r="Y41" s="31">
        <f>'Tab Summary'!Y126</f>
        <v>0</v>
      </c>
      <c r="Z41" s="148">
        <f>'Tab Summary'!P128</f>
        <v>0</v>
      </c>
      <c r="AA41" s="31">
        <f>'Tab Summary'!Y127</f>
        <v>0</v>
      </c>
      <c r="AB41" s="148">
        <f>'Tab Summary'!R128</f>
        <v>0</v>
      </c>
      <c r="AC41" s="20">
        <f>'Tab Summary'!T128</f>
        <v>0</v>
      </c>
      <c r="AD41" s="360">
        <f>'Tab Summary'!Y127</f>
        <v>0</v>
      </c>
      <c r="AE41" s="100"/>
      <c r="AF41" s="95">
        <v>39</v>
      </c>
      <c r="AG41" s="149">
        <f t="shared" si="14"/>
        <v>200</v>
      </c>
      <c r="AH41" s="95">
        <f>MATCH(AG41,'Ballot Entry'!$T$3:$T$72,0)</f>
        <v>19</v>
      </c>
      <c r="AI41" s="57"/>
      <c r="AJ41" s="57"/>
      <c r="AK41" s="57">
        <f>IF(U41&lt;1770,COUNTIF('Tab Summary'!D127:L127,"W")+COUNTIF('Tab Summary'!D127:L127,"T")/2,0)</f>
        <v>0</v>
      </c>
      <c r="AL41" s="57"/>
      <c r="AM41" s="57">
        <f t="shared" si="7"/>
        <v>0</v>
      </c>
      <c r="AN41" s="57">
        <f t="shared" si="1"/>
        <v>0</v>
      </c>
      <c r="AO41" s="57"/>
      <c r="AP41" s="57"/>
      <c r="AQ41" s="57"/>
    </row>
    <row r="42" spans="1:44" ht="15" thickTop="1" x14ac:dyDescent="0.3">
      <c r="A42" s="62" t="str">
        <f>IF(Teams&gt;=28, "1", "Hide")</f>
        <v>Hide</v>
      </c>
      <c r="B42" s="387"/>
      <c r="C42" s="279" t="s">
        <v>220</v>
      </c>
      <c r="D42" s="280"/>
      <c r="E42" s="279" t="s">
        <v>221</v>
      </c>
      <c r="F42" s="76"/>
      <c r="G42" s="69" t="s">
        <v>49</v>
      </c>
      <c r="H42" s="28"/>
      <c r="I42" s="245"/>
      <c r="K42" s="366">
        <v>5</v>
      </c>
      <c r="L42" s="367">
        <f>MATCH(K42,'Ballot Entry'!$K$3:$K$37,0)</f>
        <v>4</v>
      </c>
      <c r="M42" s="368">
        <f t="shared" si="9"/>
        <v>1410</v>
      </c>
      <c r="N42" s="368">
        <f t="shared" si="10"/>
        <v>1616</v>
      </c>
      <c r="O42" s="368">
        <f t="shared" si="11"/>
        <v>-3</v>
      </c>
      <c r="P42" s="368">
        <f t="shared" si="12"/>
        <v>-4</v>
      </c>
      <c r="Q42" s="374">
        <f t="shared" si="13"/>
        <v>0</v>
      </c>
      <c r="R42" s="57"/>
      <c r="S42" s="57"/>
      <c r="T42" s="149">
        <f>IF(U42&gt;=1770,201,(((X42*10)+IF(Y42&lt;&gt;0,1,0))*10000000000)+(((Z42*10)+IF(AA42&lt;&gt;0,1,0))*10000000)+((AB42*10)*1000)+(AC42+200))</f>
        <v>200</v>
      </c>
      <c r="U42" s="98">
        <f>'Tournament Info'!C54</f>
        <v>0</v>
      </c>
      <c r="V42" s="32" t="s">
        <v>133</v>
      </c>
      <c r="W42" s="99">
        <f>'Tournament Info'!B54</f>
        <v>0</v>
      </c>
      <c r="X42" s="148">
        <f>'Tab Summary'!P129+('Tab Summary'!T129/2)</f>
        <v>0</v>
      </c>
      <c r="Y42" s="31">
        <f>'Tab Summary'!Y129</f>
        <v>0</v>
      </c>
      <c r="Z42" s="148">
        <f>'Tab Summary'!P131</f>
        <v>0</v>
      </c>
      <c r="AA42" s="31">
        <f>'Tab Summary'!Y130</f>
        <v>0</v>
      </c>
      <c r="AB42" s="148">
        <f>'Tab Summary'!R131</f>
        <v>0</v>
      </c>
      <c r="AC42" s="20">
        <f>'Tab Summary'!T131</f>
        <v>0</v>
      </c>
      <c r="AD42" s="360">
        <f>'Tab Summary'!Y130</f>
        <v>0</v>
      </c>
      <c r="AE42" s="100"/>
      <c r="AF42" s="95">
        <v>40</v>
      </c>
      <c r="AG42" s="149">
        <f t="shared" si="14"/>
        <v>200</v>
      </c>
      <c r="AH42" s="95">
        <f>MATCH(AG42,'Ballot Entry'!$T$3:$T$72,0)</f>
        <v>19</v>
      </c>
      <c r="AI42" s="57"/>
      <c r="AJ42" s="57"/>
      <c r="AK42" s="57">
        <f>IF(U42&lt;1770,COUNTIF('Tab Summary'!D130:L130,"W")+COUNTIF('Tab Summary'!D130:L130,"T")/2,0)</f>
        <v>0</v>
      </c>
      <c r="AL42" s="57"/>
      <c r="AM42" s="57">
        <f t="shared" si="7"/>
        <v>0</v>
      </c>
      <c r="AN42" s="57">
        <f t="shared" si="1"/>
        <v>0</v>
      </c>
      <c r="AO42" s="57"/>
      <c r="AP42" s="57"/>
      <c r="AQ42" s="57"/>
    </row>
    <row r="43" spans="1:44" x14ac:dyDescent="0.2">
      <c r="A43" s="63" t="str">
        <f>IF(Teams&gt;=28, "1", "Hide")</f>
        <v>Hide</v>
      </c>
      <c r="B43" s="386"/>
      <c r="G43" s="68" t="s">
        <v>50</v>
      </c>
      <c r="H43" s="29"/>
      <c r="I43" s="246"/>
      <c r="K43" s="366">
        <v>6</v>
      </c>
      <c r="L43" s="367">
        <f>MATCH(K43,'Ballot Entry'!$K$3:$K$37,0)</f>
        <v>8</v>
      </c>
      <c r="M43" s="368">
        <f t="shared" si="9"/>
        <v>1489</v>
      </c>
      <c r="N43" s="368">
        <f t="shared" si="10"/>
        <v>1051</v>
      </c>
      <c r="O43" s="368">
        <f t="shared" si="11"/>
        <v>2</v>
      </c>
      <c r="P43" s="368">
        <f t="shared" si="12"/>
        <v>-4</v>
      </c>
      <c r="Q43" s="374">
        <f t="shared" si="13"/>
        <v>0</v>
      </c>
      <c r="R43" s="57"/>
      <c r="S43" s="57"/>
      <c r="T43" s="149">
        <f>IF(U43&gt;=1770,201,(((X43*10)+IF(Y43&lt;&gt;0,1,0))*10000000000)+(((Z43*10)+IF(AA43&lt;&gt;0,1,0))*10000000)+((AB43*10)*1000)+(AC43+200))</f>
        <v>200</v>
      </c>
      <c r="U43" s="98">
        <f>'Tournament Info'!C55</f>
        <v>0</v>
      </c>
      <c r="V43" s="32" t="s">
        <v>345</v>
      </c>
      <c r="W43" s="402">
        <f>'Tournament Info'!B55</f>
        <v>0</v>
      </c>
      <c r="X43" s="148">
        <f>'Tab Summary'!P132+('Tab Summary'!T132/2)</f>
        <v>0</v>
      </c>
      <c r="Y43" s="31">
        <f>'Tab Summary'!Y132</f>
        <v>0</v>
      </c>
      <c r="Z43" s="148">
        <f>'Tab Summary'!P134</f>
        <v>0</v>
      </c>
      <c r="AA43" s="31">
        <f>'Tab Summary'!Y133</f>
        <v>0</v>
      </c>
      <c r="AB43" s="148">
        <f>'Tab Summary'!R134</f>
        <v>0</v>
      </c>
      <c r="AC43" s="20">
        <f>'Tab Summary'!T134</f>
        <v>0</v>
      </c>
      <c r="AD43" s="360">
        <f>'Tab Summary'!Y133</f>
        <v>0</v>
      </c>
      <c r="AE43" s="100"/>
      <c r="AF43" s="95">
        <v>41</v>
      </c>
      <c r="AG43" s="149">
        <f t="shared" si="14"/>
        <v>200</v>
      </c>
      <c r="AH43" s="95">
        <f>MATCH(AG43,'Ballot Entry'!$T$3:$T$72,0)</f>
        <v>19</v>
      </c>
      <c r="AI43" s="57"/>
      <c r="AJ43" s="57"/>
      <c r="AK43" s="57">
        <f>IF(U43&lt;1770,COUNTIF('Tab Summary'!D133:L133,"W")+COUNTIF('Tab Summary'!D133:L133,"T")/2,0)</f>
        <v>0</v>
      </c>
      <c r="AL43" s="57"/>
      <c r="AM43" s="57">
        <f t="shared" ref="AM43:AM64" si="15">IF(X43&gt;=4.5,1,0)</f>
        <v>0</v>
      </c>
      <c r="AN43" s="57">
        <f t="shared" ref="AN43:AN64" si="16">IF(X43&gt;=LARGE($X$3:$X$42,Bids),1,0)</f>
        <v>0</v>
      </c>
      <c r="AP43" s="57"/>
      <c r="AQ43" s="57"/>
      <c r="AR43" s="57"/>
    </row>
    <row r="44" spans="1:44" ht="13.5" thickBot="1" x14ac:dyDescent="0.25">
      <c r="A44" s="64" t="str">
        <f>IF(Teams&gt;=28, IF(Ballots = 3, "1", "Hide"), "Hide")</f>
        <v>Hide</v>
      </c>
      <c r="B44" s="388"/>
      <c r="C44" s="281"/>
      <c r="D44" s="282"/>
      <c r="E44" s="282"/>
      <c r="F44" s="77"/>
      <c r="G44" s="70" t="s">
        <v>51</v>
      </c>
      <c r="H44" s="30"/>
      <c r="I44" s="247"/>
      <c r="K44" s="366">
        <v>7</v>
      </c>
      <c r="L44" s="367">
        <f>MATCH(K44,'Ballot Entry'!$K$3:$K$37,0)</f>
        <v>3</v>
      </c>
      <c r="M44" s="368">
        <f t="shared" si="9"/>
        <v>1506</v>
      </c>
      <c r="N44" s="368">
        <f t="shared" si="10"/>
        <v>1224</v>
      </c>
      <c r="O44" s="368">
        <f t="shared" si="11"/>
        <v>14</v>
      </c>
      <c r="P44" s="368">
        <f t="shared" si="12"/>
        <v>15</v>
      </c>
      <c r="Q44" s="374">
        <f t="shared" si="13"/>
        <v>0</v>
      </c>
      <c r="R44" s="57"/>
      <c r="S44" s="57"/>
      <c r="T44" s="149">
        <f>IF(U44&gt;=1770,201,(((X44*10)+IF(Y44&lt;&gt;0,1,0))*10000000000)+(((Z44*10)+IF(AA44&lt;&gt;0,1,0))*10000000)+((AB44*10)*1000)+(AC44+200))</f>
        <v>200</v>
      </c>
      <c r="U44" s="98">
        <f>'Tournament Info'!C56</f>
        <v>0</v>
      </c>
      <c r="V44" s="32" t="s">
        <v>346</v>
      </c>
      <c r="W44" s="402">
        <f>'Tournament Info'!B56</f>
        <v>0</v>
      </c>
      <c r="X44" s="148">
        <f>'Tab Summary'!P135+('Tab Summary'!T135/2)</f>
        <v>0</v>
      </c>
      <c r="Y44" s="31">
        <f>'Tab Summary'!Y135</f>
        <v>0</v>
      </c>
      <c r="Z44" s="148">
        <f>'Tab Summary'!P137</f>
        <v>0</v>
      </c>
      <c r="AA44" s="31">
        <f>'Tab Summary'!Y136</f>
        <v>0</v>
      </c>
      <c r="AB44" s="148">
        <f>'Tab Summary'!R137</f>
        <v>0</v>
      </c>
      <c r="AC44" s="20">
        <f>'Tab Summary'!T137</f>
        <v>0</v>
      </c>
      <c r="AD44" s="360">
        <f>'Tab Summary'!Y136</f>
        <v>0</v>
      </c>
      <c r="AE44" s="100"/>
      <c r="AF44" s="95">
        <v>42</v>
      </c>
      <c r="AG44" s="149">
        <f t="shared" si="14"/>
        <v>200</v>
      </c>
      <c r="AH44" s="95">
        <f>MATCH(AG44,'Ballot Entry'!$T$3:$T$72,0)</f>
        <v>19</v>
      </c>
      <c r="AI44" s="57"/>
      <c r="AJ44" s="57"/>
      <c r="AK44" s="57">
        <f>IF(U44&lt;1770,COUNTIF('Tab Summary'!D136:L136,"W")+COUNTIF('Tab Summary'!D136:L136,"T")/2,0)</f>
        <v>0</v>
      </c>
      <c r="AL44" s="57"/>
      <c r="AM44" s="57">
        <f t="shared" si="15"/>
        <v>0</v>
      </c>
      <c r="AN44" s="57">
        <f t="shared" si="16"/>
        <v>0</v>
      </c>
      <c r="AP44" s="57"/>
      <c r="AQ44" s="57"/>
      <c r="AR44" s="57"/>
    </row>
    <row r="45" spans="1:44" ht="15" thickTop="1" x14ac:dyDescent="0.3">
      <c r="A45" s="60" t="str">
        <f>IF(Teams&gt;=30, "1", "Hide")</f>
        <v>Hide</v>
      </c>
      <c r="B45" s="384"/>
      <c r="C45" s="276" t="s">
        <v>220</v>
      </c>
      <c r="D45" s="384"/>
      <c r="E45" s="276" t="s">
        <v>221</v>
      </c>
      <c r="F45" s="74"/>
      <c r="G45" s="67" t="s">
        <v>49</v>
      </c>
      <c r="H45" s="25"/>
      <c r="I45" s="242"/>
      <c r="K45" s="366">
        <v>8</v>
      </c>
      <c r="L45" s="367">
        <f>MATCH(K45,'Ballot Entry'!$K$3:$K$37,0)</f>
        <v>5</v>
      </c>
      <c r="M45" s="368">
        <f t="shared" si="9"/>
        <v>1557</v>
      </c>
      <c r="N45" s="368">
        <f t="shared" si="10"/>
        <v>1517</v>
      </c>
      <c r="O45" s="368">
        <f t="shared" si="11"/>
        <v>-1</v>
      </c>
      <c r="P45" s="368">
        <f t="shared" si="12"/>
        <v>5</v>
      </c>
      <c r="Q45" s="374">
        <f t="shared" si="13"/>
        <v>0</v>
      </c>
      <c r="R45" s="57"/>
      <c r="S45" s="57"/>
      <c r="T45" s="149">
        <f>IF(U45&gt;=1770,201,(((X45*10)+IF(Y45&lt;&gt;0,1,0))*10000000000)+(((Z45*10)+IF(AA45&lt;&gt;0,1,0))*10000000)+((AB45*10)*1000)+(AC45+200))</f>
        <v>200</v>
      </c>
      <c r="U45" s="98">
        <f>'Tournament Info'!C57</f>
        <v>0</v>
      </c>
      <c r="V45" s="32" t="s">
        <v>347</v>
      </c>
      <c r="W45" s="402">
        <f>'Tournament Info'!B57</f>
        <v>0</v>
      </c>
      <c r="X45" s="148">
        <f>'Tab Summary'!P138+('Tab Summary'!T138/2)</f>
        <v>0</v>
      </c>
      <c r="Y45" s="31">
        <f>'Tab Summary'!Y138</f>
        <v>0</v>
      </c>
      <c r="Z45" s="148">
        <f>'Tab Summary'!P140</f>
        <v>0</v>
      </c>
      <c r="AA45" s="31">
        <f>'Tab Summary'!Y139</f>
        <v>0</v>
      </c>
      <c r="AB45" s="148">
        <f>'Tab Summary'!R140</f>
        <v>0</v>
      </c>
      <c r="AC45" s="20">
        <f>'Tab Summary'!T140</f>
        <v>0</v>
      </c>
      <c r="AD45" s="360">
        <f>'Tab Summary'!Y139</f>
        <v>0</v>
      </c>
      <c r="AE45" s="100"/>
      <c r="AF45" s="95">
        <v>43</v>
      </c>
      <c r="AG45" s="149">
        <f t="shared" si="14"/>
        <v>200</v>
      </c>
      <c r="AH45" s="95">
        <f>MATCH(AG45,'Ballot Entry'!$T$3:$T$72,0)</f>
        <v>19</v>
      </c>
      <c r="AI45" s="57"/>
      <c r="AJ45" s="57"/>
      <c r="AK45" s="57">
        <f>IF(U45&lt;1770,COUNTIF('Tab Summary'!D139:L139,"W")+COUNTIF('Tab Summary'!D139:L139,"T")/2,0)</f>
        <v>0</v>
      </c>
      <c r="AL45" s="57"/>
      <c r="AM45" s="57">
        <f t="shared" si="15"/>
        <v>0</v>
      </c>
      <c r="AN45" s="57">
        <f t="shared" si="16"/>
        <v>0</v>
      </c>
      <c r="AP45" s="57"/>
      <c r="AQ45" s="57"/>
      <c r="AR45" s="57"/>
    </row>
    <row r="46" spans="1:44" x14ac:dyDescent="0.2">
      <c r="A46" s="61" t="str">
        <f>IF(Teams&gt;=30, "1", "Hide")</f>
        <v>Hide</v>
      </c>
      <c r="G46" s="68" t="s">
        <v>50</v>
      </c>
      <c r="H46" s="26"/>
      <c r="I46" s="243"/>
      <c r="K46" s="366">
        <v>9</v>
      </c>
      <c r="L46" s="367">
        <f>MATCH(K46,'Ballot Entry'!$K$3:$K$37,0)</f>
        <v>9</v>
      </c>
      <c r="M46" s="368">
        <f t="shared" si="9"/>
        <v>1577</v>
      </c>
      <c r="N46" s="368">
        <f t="shared" si="10"/>
        <v>1492</v>
      </c>
      <c r="O46" s="368">
        <f t="shared" si="11"/>
        <v>3</v>
      </c>
      <c r="P46" s="368">
        <f t="shared" si="12"/>
        <v>7</v>
      </c>
      <c r="Q46" s="374">
        <f t="shared" si="13"/>
        <v>0</v>
      </c>
      <c r="R46" s="57"/>
      <c r="T46" s="149">
        <f t="shared" si="8"/>
        <v>200</v>
      </c>
      <c r="U46" s="98">
        <f>'Tournament Info'!C58</f>
        <v>0</v>
      </c>
      <c r="V46" s="32" t="s">
        <v>348</v>
      </c>
      <c r="W46" s="402">
        <f>'Tournament Info'!B58</f>
        <v>0</v>
      </c>
      <c r="X46" s="148">
        <f>'Tab Summary'!P141+('Tab Summary'!T141/2)</f>
        <v>0</v>
      </c>
      <c r="Y46" s="31">
        <f>'Tab Summary'!Y141</f>
        <v>0</v>
      </c>
      <c r="Z46" s="148">
        <f>'Tab Summary'!P143</f>
        <v>0</v>
      </c>
      <c r="AA46" s="31">
        <f>'Tab Summary'!Y142</f>
        <v>0</v>
      </c>
      <c r="AB46" s="148">
        <f>'Tab Summary'!R143</f>
        <v>0</v>
      </c>
      <c r="AC46" s="20">
        <f>'Tab Summary'!T143</f>
        <v>0</v>
      </c>
      <c r="AD46" s="360">
        <f>'Tab Summary'!Y142</f>
        <v>0</v>
      </c>
      <c r="AE46" s="100"/>
      <c r="AF46" s="95">
        <v>44</v>
      </c>
      <c r="AG46" s="149">
        <f t="shared" si="14"/>
        <v>200</v>
      </c>
      <c r="AH46" s="95">
        <f>MATCH(AG46,'Ballot Entry'!$T$3:$T$72,0)</f>
        <v>19</v>
      </c>
      <c r="AI46" s="57"/>
      <c r="AJ46" s="57"/>
      <c r="AK46" s="57">
        <f>IF(U46&lt;1770,COUNTIF('Tab Summary'!D142:L142,"W")+COUNTIF('Tab Summary'!D142:L142,"T")/2,0)</f>
        <v>0</v>
      </c>
      <c r="AL46" s="57"/>
      <c r="AM46" s="57">
        <f t="shared" si="15"/>
        <v>0</v>
      </c>
      <c r="AN46" s="57">
        <f t="shared" si="16"/>
        <v>0</v>
      </c>
      <c r="AP46" s="57"/>
      <c r="AQ46" s="57"/>
      <c r="AR46" s="57"/>
    </row>
    <row r="47" spans="1:44" ht="13.5" thickBot="1" x14ac:dyDescent="0.25">
      <c r="A47" s="61" t="str">
        <f>IF(Teams&gt;=30, IF(Ballots = 3, "1", "Hide"), "Hide")</f>
        <v>Hide</v>
      </c>
      <c r="B47" s="386"/>
      <c r="C47" s="277"/>
      <c r="D47" s="278"/>
      <c r="E47" s="278"/>
      <c r="F47" s="75"/>
      <c r="G47" s="68" t="s">
        <v>51</v>
      </c>
      <c r="H47" s="27"/>
      <c r="I47" s="244"/>
      <c r="K47" s="366">
        <v>10</v>
      </c>
      <c r="L47" s="367">
        <f>MATCH(K47,'Ballot Entry'!$K$3:$K$37,0)</f>
        <v>10</v>
      </c>
      <c r="M47" s="368">
        <f t="shared" si="9"/>
        <v>9999</v>
      </c>
      <c r="N47" s="368">
        <f t="shared" si="10"/>
        <v>9999</v>
      </c>
      <c r="O47" s="368">
        <f t="shared" si="11"/>
        <v>0</v>
      </c>
      <c r="P47" s="368">
        <f t="shared" si="12"/>
        <v>0</v>
      </c>
      <c r="Q47" s="374">
        <f t="shared" si="13"/>
        <v>0</v>
      </c>
      <c r="R47" s="57"/>
      <c r="T47" s="149">
        <f t="shared" si="8"/>
        <v>200</v>
      </c>
      <c r="U47" s="98">
        <f>'Tournament Info'!C59</f>
        <v>0</v>
      </c>
      <c r="V47" s="32" t="s">
        <v>349</v>
      </c>
      <c r="W47" s="402">
        <f>'Tournament Info'!B59</f>
        <v>0</v>
      </c>
      <c r="X47" s="148">
        <f>'Tab Summary'!P144+('Tab Summary'!T144/2)</f>
        <v>0</v>
      </c>
      <c r="Y47" s="31">
        <f>'Tab Summary'!Y144</f>
        <v>0</v>
      </c>
      <c r="Z47" s="148">
        <f>'Tab Summary'!P146</f>
        <v>0</v>
      </c>
      <c r="AA47" s="31">
        <f>'Tab Summary'!Y145</f>
        <v>0</v>
      </c>
      <c r="AB47" s="148">
        <f>'Tab Summary'!R146</f>
        <v>0</v>
      </c>
      <c r="AC47" s="20">
        <f>'Tab Summary'!T146</f>
        <v>0</v>
      </c>
      <c r="AD47" s="360">
        <f>'Tab Summary'!Y145</f>
        <v>0</v>
      </c>
      <c r="AE47" s="100"/>
      <c r="AF47" s="95">
        <v>45</v>
      </c>
      <c r="AG47" s="149">
        <f t="shared" si="14"/>
        <v>200</v>
      </c>
      <c r="AH47" s="95">
        <f>MATCH(AG47,'Ballot Entry'!$T$3:$T$72,0)</f>
        <v>19</v>
      </c>
      <c r="AI47" s="57"/>
      <c r="AJ47" s="57"/>
      <c r="AK47" s="57">
        <f>IF(U47&lt;1770,COUNTIF('Tab Summary'!D145:L145,"W")+COUNTIF('Tab Summary'!D145:L145,"T")/2,0)</f>
        <v>0</v>
      </c>
      <c r="AL47" s="57"/>
      <c r="AM47" s="57">
        <f t="shared" si="15"/>
        <v>0</v>
      </c>
      <c r="AN47" s="57">
        <f t="shared" si="16"/>
        <v>0</v>
      </c>
      <c r="AP47" s="57"/>
      <c r="AQ47" s="57"/>
      <c r="AR47" s="57"/>
    </row>
    <row r="48" spans="1:44" ht="15" thickTop="1" x14ac:dyDescent="0.3">
      <c r="A48" s="62" t="str">
        <f>IF(Teams&gt;=32, "1", "Hide")</f>
        <v>Hide</v>
      </c>
      <c r="B48" s="387"/>
      <c r="C48" s="279" t="s">
        <v>220</v>
      </c>
      <c r="D48" s="280"/>
      <c r="E48" s="279" t="s">
        <v>221</v>
      </c>
      <c r="F48" s="76"/>
      <c r="G48" s="69" t="s">
        <v>49</v>
      </c>
      <c r="H48" s="28"/>
      <c r="I48" s="245"/>
      <c r="K48" s="366">
        <v>11</v>
      </c>
      <c r="L48" s="367" t="e">
        <f>MATCH(K48,'Ballot Entry'!$K$3:$K$37,0)</f>
        <v>#N/A</v>
      </c>
      <c r="M48" s="368" t="e">
        <f t="shared" si="9"/>
        <v>#N/A</v>
      </c>
      <c r="N48" s="368" t="e">
        <f t="shared" si="10"/>
        <v>#N/A</v>
      </c>
      <c r="O48" s="368" t="e">
        <f t="shared" si="11"/>
        <v>#N/A</v>
      </c>
      <c r="P48" s="368" t="e">
        <f t="shared" si="12"/>
        <v>#N/A</v>
      </c>
      <c r="Q48" s="374" t="e">
        <f t="shared" si="13"/>
        <v>#N/A</v>
      </c>
      <c r="R48" s="57"/>
      <c r="T48" s="149">
        <f t="shared" si="8"/>
        <v>200</v>
      </c>
      <c r="U48" s="98">
        <f>'Tournament Info'!C60</f>
        <v>0</v>
      </c>
      <c r="V48" s="32" t="s">
        <v>350</v>
      </c>
      <c r="W48" s="402">
        <f>'Tournament Info'!B60</f>
        <v>0</v>
      </c>
      <c r="X48" s="148">
        <f>'Tab Summary'!P147+('Tab Summary'!T147/2)</f>
        <v>0</v>
      </c>
      <c r="Y48" s="31">
        <f>'Tab Summary'!Y147</f>
        <v>0</v>
      </c>
      <c r="Z48" s="148">
        <f>'Tab Summary'!P149</f>
        <v>0</v>
      </c>
      <c r="AA48" s="31">
        <f>'Tab Summary'!Y148</f>
        <v>0</v>
      </c>
      <c r="AB48" s="148">
        <f>'Tab Summary'!R149</f>
        <v>0</v>
      </c>
      <c r="AC48" s="20">
        <f>'Tab Summary'!T149</f>
        <v>0</v>
      </c>
      <c r="AD48" s="360">
        <f>'Tab Summary'!Y148</f>
        <v>0</v>
      </c>
      <c r="AE48" s="100"/>
      <c r="AF48" s="95">
        <v>46</v>
      </c>
      <c r="AG48" s="149">
        <f t="shared" si="14"/>
        <v>200</v>
      </c>
      <c r="AH48" s="95">
        <f>MATCH(AG48,'Ballot Entry'!$T$3:$T$72,0)</f>
        <v>19</v>
      </c>
      <c r="AI48" s="57"/>
      <c r="AJ48" s="57"/>
      <c r="AK48" s="57">
        <f>IF(U48&lt;1770,COUNTIF('Tab Summary'!D148:L148,"W")+COUNTIF('Tab Summary'!D148:L148,"T")/2,0)</f>
        <v>0</v>
      </c>
      <c r="AM48" s="57">
        <f t="shared" si="15"/>
        <v>0</v>
      </c>
      <c r="AN48" s="57">
        <f t="shared" si="16"/>
        <v>0</v>
      </c>
      <c r="AP48" s="57"/>
    </row>
    <row r="49" spans="1:44" x14ac:dyDescent="0.2">
      <c r="A49" s="63" t="str">
        <f>IF(Teams&gt;=32, "1", "Hide")</f>
        <v>Hide</v>
      </c>
      <c r="B49" s="386"/>
      <c r="G49" s="68" t="s">
        <v>50</v>
      </c>
      <c r="H49" s="29"/>
      <c r="I49" s="246"/>
      <c r="K49" s="366">
        <v>12</v>
      </c>
      <c r="L49" s="367" t="e">
        <f>MATCH(K49,'Ballot Entry'!$K$3:$K$37,0)</f>
        <v>#N/A</v>
      </c>
      <c r="M49" s="368" t="e">
        <f t="shared" si="9"/>
        <v>#N/A</v>
      </c>
      <c r="N49" s="368" t="e">
        <f t="shared" si="10"/>
        <v>#N/A</v>
      </c>
      <c r="O49" s="368" t="e">
        <f t="shared" si="11"/>
        <v>#N/A</v>
      </c>
      <c r="P49" s="368" t="e">
        <f t="shared" si="12"/>
        <v>#N/A</v>
      </c>
      <c r="Q49" s="374" t="e">
        <f t="shared" si="13"/>
        <v>#N/A</v>
      </c>
      <c r="R49" s="57"/>
      <c r="T49" s="149">
        <f t="shared" si="8"/>
        <v>200</v>
      </c>
      <c r="U49" s="98">
        <f>'Tournament Info'!C61</f>
        <v>0</v>
      </c>
      <c r="V49" s="32" t="s">
        <v>351</v>
      </c>
      <c r="W49" s="402">
        <f>'Tournament Info'!B61</f>
        <v>0</v>
      </c>
      <c r="X49" s="148">
        <f>'Tab Summary'!P153+('Tab Summary'!T153/2)</f>
        <v>0</v>
      </c>
      <c r="Y49" s="31">
        <f>'Tab Summary'!Y153</f>
        <v>0</v>
      </c>
      <c r="Z49" s="148">
        <f>'Tab Summary'!P155</f>
        <v>0</v>
      </c>
      <c r="AA49" s="31">
        <f>'Tab Summary'!Y154</f>
        <v>0</v>
      </c>
      <c r="AB49" s="148">
        <f>'Tab Summary'!R155</f>
        <v>0</v>
      </c>
      <c r="AC49" s="20">
        <f>'Tab Summary'!T155</f>
        <v>0</v>
      </c>
      <c r="AD49" s="360">
        <f>'Tab Summary'!Y154</f>
        <v>0</v>
      </c>
      <c r="AE49" s="100"/>
      <c r="AF49" s="95">
        <v>47</v>
      </c>
      <c r="AG49" s="149">
        <f t="shared" si="14"/>
        <v>200</v>
      </c>
      <c r="AH49" s="95">
        <f>MATCH(AG49,'Ballot Entry'!$T$3:$T$72,0)</f>
        <v>19</v>
      </c>
      <c r="AI49" s="57"/>
      <c r="AJ49" s="57"/>
      <c r="AK49" s="57">
        <f>IF(U49&lt;1770,COUNTIF('Tab Summary'!D154:L154,"W")+COUNTIF('Tab Summary'!D154:L154,"T")/2,0)</f>
        <v>0</v>
      </c>
      <c r="AM49" s="57">
        <f t="shared" si="15"/>
        <v>0</v>
      </c>
      <c r="AN49" s="57">
        <f t="shared" si="16"/>
        <v>0</v>
      </c>
      <c r="AP49" s="57"/>
    </row>
    <row r="50" spans="1:44" ht="13.5" thickBot="1" x14ac:dyDescent="0.25">
      <c r="A50" s="64" t="str">
        <f>IF(Teams&gt;=32, IF(Ballots = 3, "1", "Hide"), "Hide")</f>
        <v>Hide</v>
      </c>
      <c r="B50" s="388"/>
      <c r="C50" s="281"/>
      <c r="D50" s="282"/>
      <c r="E50" s="282"/>
      <c r="F50" s="77"/>
      <c r="G50" s="70" t="s">
        <v>51</v>
      </c>
      <c r="H50" s="30"/>
      <c r="I50" s="247"/>
      <c r="K50" s="366">
        <v>13</v>
      </c>
      <c r="L50" s="367" t="e">
        <f>MATCH(K50,'Ballot Entry'!$K$3:$K$37,0)</f>
        <v>#N/A</v>
      </c>
      <c r="M50" s="368" t="e">
        <f t="shared" si="9"/>
        <v>#N/A</v>
      </c>
      <c r="N50" s="368" t="e">
        <f t="shared" si="10"/>
        <v>#N/A</v>
      </c>
      <c r="O50" s="368" t="e">
        <f t="shared" si="11"/>
        <v>#N/A</v>
      </c>
      <c r="P50" s="368" t="e">
        <f t="shared" si="12"/>
        <v>#N/A</v>
      </c>
      <c r="Q50" s="374" t="e">
        <f t="shared" si="13"/>
        <v>#N/A</v>
      </c>
      <c r="R50" s="57"/>
      <c r="T50" s="149">
        <f t="shared" si="8"/>
        <v>200</v>
      </c>
      <c r="U50" s="98">
        <f>'Tournament Info'!C62</f>
        <v>0</v>
      </c>
      <c r="V50" s="32" t="s">
        <v>352</v>
      </c>
      <c r="W50" s="402">
        <f>'Tournament Info'!B62</f>
        <v>0</v>
      </c>
      <c r="X50" s="148">
        <f>'Tab Summary'!P156+('Tab Summary'!T156/2)</f>
        <v>0</v>
      </c>
      <c r="Y50" s="31">
        <f>'Tab Summary'!Y156</f>
        <v>0</v>
      </c>
      <c r="Z50" s="148">
        <f>'Tab Summary'!P158</f>
        <v>0</v>
      </c>
      <c r="AA50" s="31">
        <f>'Tab Summary'!Y157</f>
        <v>0</v>
      </c>
      <c r="AB50" s="148">
        <f>'Tab Summary'!R158</f>
        <v>0</v>
      </c>
      <c r="AC50" s="20">
        <f>'Tab Summary'!T158</f>
        <v>0</v>
      </c>
      <c r="AD50" s="360">
        <f>'Tab Summary'!Y157</f>
        <v>0</v>
      </c>
      <c r="AE50" s="100"/>
      <c r="AF50" s="95">
        <v>48</v>
      </c>
      <c r="AG50" s="149">
        <f t="shared" si="14"/>
        <v>200</v>
      </c>
      <c r="AH50" s="95">
        <f>MATCH(AG50,'Ballot Entry'!$T$3:$T$72,0)</f>
        <v>19</v>
      </c>
      <c r="AI50" s="57"/>
      <c r="AJ50" s="57"/>
      <c r="AK50" s="57">
        <f>IF(U50&lt;1770,COUNTIF('Tab Summary'!D157:L157,"W")+COUNTIF('Tab Summary'!D157:L157,"T")/2,0)</f>
        <v>0</v>
      </c>
      <c r="AM50" s="57">
        <f t="shared" si="15"/>
        <v>0</v>
      </c>
      <c r="AN50" s="57">
        <f t="shared" si="16"/>
        <v>0</v>
      </c>
      <c r="AP50" s="57"/>
    </row>
    <row r="51" spans="1:44" ht="15" thickTop="1" x14ac:dyDescent="0.3">
      <c r="A51" s="60" t="str">
        <f>IF(Teams&gt;=34, "1", "Hide")</f>
        <v>Hide</v>
      </c>
      <c r="B51" s="384"/>
      <c r="C51" s="276" t="s">
        <v>220</v>
      </c>
      <c r="D51" s="384"/>
      <c r="E51" s="276" t="s">
        <v>221</v>
      </c>
      <c r="F51" s="74"/>
      <c r="G51" s="67" t="s">
        <v>49</v>
      </c>
      <c r="H51" s="25"/>
      <c r="I51" s="242"/>
      <c r="K51" s="366">
        <v>14</v>
      </c>
      <c r="L51" s="367" t="e">
        <f>MATCH(K51,'Ballot Entry'!$K$3:$K$37,0)</f>
        <v>#N/A</v>
      </c>
      <c r="M51" s="368" t="e">
        <f t="shared" si="9"/>
        <v>#N/A</v>
      </c>
      <c r="N51" s="368" t="e">
        <f t="shared" si="10"/>
        <v>#N/A</v>
      </c>
      <c r="O51" s="368" t="e">
        <f t="shared" si="11"/>
        <v>#N/A</v>
      </c>
      <c r="P51" s="368" t="e">
        <f t="shared" si="12"/>
        <v>#N/A</v>
      </c>
      <c r="Q51" s="374" t="e">
        <f t="shared" si="13"/>
        <v>#N/A</v>
      </c>
      <c r="R51" s="57"/>
      <c r="S51" s="57"/>
      <c r="T51" s="149">
        <f t="shared" si="8"/>
        <v>200</v>
      </c>
      <c r="U51" s="98">
        <f>'Tournament Info'!C63</f>
        <v>0</v>
      </c>
      <c r="V51" s="32" t="s">
        <v>353</v>
      </c>
      <c r="W51" s="402">
        <f>'Tournament Info'!B63</f>
        <v>0</v>
      </c>
      <c r="X51" s="148">
        <f>'Tab Summary'!P159+('Tab Summary'!T159/2)</f>
        <v>0</v>
      </c>
      <c r="Y51" s="31">
        <f>'Tab Summary'!Y159</f>
        <v>0</v>
      </c>
      <c r="Z51" s="148">
        <f>'Tab Summary'!P161</f>
        <v>0</v>
      </c>
      <c r="AA51" s="31">
        <f>'Tab Summary'!Y160</f>
        <v>0</v>
      </c>
      <c r="AB51" s="148">
        <f>'Tab Summary'!R161</f>
        <v>0</v>
      </c>
      <c r="AC51" s="20">
        <f>'Tab Summary'!T161</f>
        <v>0</v>
      </c>
      <c r="AD51" s="360">
        <f>'Tab Summary'!Y160</f>
        <v>0</v>
      </c>
      <c r="AE51" s="100"/>
      <c r="AF51" s="95">
        <v>49</v>
      </c>
      <c r="AG51" s="149">
        <f t="shared" si="14"/>
        <v>200</v>
      </c>
      <c r="AH51" s="95">
        <f>MATCH(AG51,'Ballot Entry'!$T$3:$T$72,0)</f>
        <v>19</v>
      </c>
      <c r="AI51" s="57"/>
      <c r="AJ51" s="57"/>
      <c r="AK51" s="57">
        <f>IF(U51&lt;1770,COUNTIF('Tab Summary'!D160:L160,"W")+COUNTIF('Tab Summary'!D160:L160,"T")/2,0)</f>
        <v>0</v>
      </c>
      <c r="AL51" s="57"/>
      <c r="AM51" s="57">
        <f t="shared" si="15"/>
        <v>0</v>
      </c>
      <c r="AN51" s="57">
        <f t="shared" si="16"/>
        <v>0</v>
      </c>
      <c r="AP51" s="57"/>
      <c r="AQ51" s="57"/>
      <c r="AR51" s="57"/>
    </row>
    <row r="52" spans="1:44" x14ac:dyDescent="0.2">
      <c r="A52" s="61" t="str">
        <f>IF(Teams&gt;=34, "1", "Hide")</f>
        <v>Hide</v>
      </c>
      <c r="G52" s="68" t="s">
        <v>50</v>
      </c>
      <c r="H52" s="26"/>
      <c r="I52" s="243"/>
      <c r="K52" s="366">
        <v>15</v>
      </c>
      <c r="L52" s="367" t="e">
        <f>MATCH(K52,'Ballot Entry'!$K$3:$K$37,0)</f>
        <v>#N/A</v>
      </c>
      <c r="M52" s="368" t="e">
        <f t="shared" si="9"/>
        <v>#N/A</v>
      </c>
      <c r="N52" s="368" t="e">
        <f t="shared" si="10"/>
        <v>#N/A</v>
      </c>
      <c r="O52" s="368" t="e">
        <f t="shared" si="11"/>
        <v>#N/A</v>
      </c>
      <c r="P52" s="368" t="e">
        <f t="shared" si="12"/>
        <v>#N/A</v>
      </c>
      <c r="Q52" s="374" t="e">
        <f t="shared" si="13"/>
        <v>#N/A</v>
      </c>
      <c r="R52" s="57"/>
      <c r="S52" s="57"/>
      <c r="T52" s="149">
        <f t="shared" si="8"/>
        <v>200</v>
      </c>
      <c r="U52" s="98">
        <f>'Tournament Info'!C64</f>
        <v>0</v>
      </c>
      <c r="V52" s="32" t="s">
        <v>354</v>
      </c>
      <c r="W52" s="402">
        <f>'Tournament Info'!B64</f>
        <v>0</v>
      </c>
      <c r="X52" s="148">
        <f>'Tab Summary'!P162+('Tab Summary'!T162/2)</f>
        <v>0</v>
      </c>
      <c r="Y52" s="31">
        <f>'Tab Summary'!Y162</f>
        <v>0</v>
      </c>
      <c r="Z52" s="148">
        <f>'Tab Summary'!P164</f>
        <v>0</v>
      </c>
      <c r="AA52" s="31">
        <f>'Tab Summary'!Y163</f>
        <v>0</v>
      </c>
      <c r="AB52" s="148">
        <f>'Tab Summary'!R164</f>
        <v>0</v>
      </c>
      <c r="AC52" s="20">
        <f>'Tab Summary'!T164</f>
        <v>0</v>
      </c>
      <c r="AD52" s="360">
        <f>'Tab Summary'!Y163</f>
        <v>0</v>
      </c>
      <c r="AE52" s="100"/>
      <c r="AF52" s="95">
        <v>50</v>
      </c>
      <c r="AG52" s="149">
        <f t="shared" si="14"/>
        <v>200</v>
      </c>
      <c r="AH52" s="95">
        <f>MATCH(AG52,'Ballot Entry'!$T$3:$T$72,0)</f>
        <v>19</v>
      </c>
      <c r="AI52" s="57"/>
      <c r="AJ52" s="57"/>
      <c r="AK52" s="57">
        <f>IF(U52&lt;1770,COUNTIF('Tab Summary'!D163:L163,"W")+COUNTIF('Tab Summary'!D163:L163,"T")/2,0)</f>
        <v>0</v>
      </c>
      <c r="AL52" s="57"/>
      <c r="AM52" s="57">
        <f t="shared" si="15"/>
        <v>0</v>
      </c>
      <c r="AN52" s="57">
        <f t="shared" si="16"/>
        <v>0</v>
      </c>
      <c r="AP52" s="57"/>
      <c r="AQ52" s="57"/>
      <c r="AR52" s="57"/>
    </row>
    <row r="53" spans="1:44" ht="13.5" thickBot="1" x14ac:dyDescent="0.25">
      <c r="A53" s="61" t="str">
        <f>IF(Teams&gt;=34, IF(Ballots = 3, "1", "Hide"), "Hide")</f>
        <v>Hide</v>
      </c>
      <c r="B53" s="386"/>
      <c r="C53" s="277"/>
      <c r="D53" s="278"/>
      <c r="E53" s="278"/>
      <c r="F53" s="75"/>
      <c r="G53" s="68" t="s">
        <v>51</v>
      </c>
      <c r="H53" s="27"/>
      <c r="I53" s="244"/>
      <c r="K53" s="366">
        <v>16</v>
      </c>
      <c r="L53" s="367" t="e">
        <f>MATCH(K53,'Ballot Entry'!$K$3:$K$37,0)</f>
        <v>#N/A</v>
      </c>
      <c r="M53" s="368" t="e">
        <f t="shared" si="9"/>
        <v>#N/A</v>
      </c>
      <c r="N53" s="368" t="e">
        <f t="shared" si="10"/>
        <v>#N/A</v>
      </c>
      <c r="O53" s="368" t="e">
        <f t="shared" si="11"/>
        <v>#N/A</v>
      </c>
      <c r="P53" s="368" t="e">
        <f t="shared" si="12"/>
        <v>#N/A</v>
      </c>
      <c r="Q53" s="374" t="e">
        <f t="shared" si="13"/>
        <v>#N/A</v>
      </c>
      <c r="R53" s="57"/>
      <c r="S53" s="57"/>
      <c r="T53" s="149">
        <f t="shared" si="8"/>
        <v>200</v>
      </c>
      <c r="U53" s="98">
        <f>'Tournament Info'!C65</f>
        <v>0</v>
      </c>
      <c r="V53" s="32" t="s">
        <v>355</v>
      </c>
      <c r="W53" s="402">
        <f>'Tournament Info'!B65</f>
        <v>0</v>
      </c>
      <c r="X53" s="148">
        <f>'Tab Summary'!P165+('Tab Summary'!T165/2)</f>
        <v>0</v>
      </c>
      <c r="Y53" s="31">
        <f>'Tab Summary'!Y165</f>
        <v>0</v>
      </c>
      <c r="Z53" s="148">
        <f>'Tab Summary'!P167</f>
        <v>0</v>
      </c>
      <c r="AA53" s="31">
        <f>'Tab Summary'!Y166</f>
        <v>0</v>
      </c>
      <c r="AB53" s="148">
        <f>'Tab Summary'!R167</f>
        <v>0</v>
      </c>
      <c r="AC53" s="20">
        <f>'Tab Summary'!T167</f>
        <v>0</v>
      </c>
      <c r="AD53" s="360">
        <f>'Tab Summary'!Y166</f>
        <v>0</v>
      </c>
      <c r="AE53" s="100"/>
      <c r="AF53" s="95">
        <v>51</v>
      </c>
      <c r="AG53" s="149">
        <f t="shared" si="14"/>
        <v>200</v>
      </c>
      <c r="AH53" s="95">
        <f>MATCH(AG53,'Ballot Entry'!$T$3:$T$72,0)</f>
        <v>19</v>
      </c>
      <c r="AI53" s="57"/>
      <c r="AJ53" s="57"/>
      <c r="AK53" s="57">
        <f>IF(U53&lt;1770,COUNTIF('Tab Summary'!D166:L166,"W")+COUNTIF('Tab Summary'!D166:L166,"T")/2,0)</f>
        <v>0</v>
      </c>
      <c r="AL53" s="57"/>
      <c r="AM53" s="57">
        <f t="shared" si="15"/>
        <v>0</v>
      </c>
      <c r="AN53" s="57">
        <f t="shared" si="16"/>
        <v>0</v>
      </c>
      <c r="AP53" s="57"/>
      <c r="AQ53" s="57"/>
      <c r="AR53" s="57"/>
    </row>
    <row r="54" spans="1:44" ht="15" thickTop="1" x14ac:dyDescent="0.3">
      <c r="A54" s="62" t="str">
        <f>IF(Teams&gt;=36, "1", "Hide")</f>
        <v>Hide</v>
      </c>
      <c r="B54" s="387"/>
      <c r="C54" s="279" t="s">
        <v>220</v>
      </c>
      <c r="D54" s="280"/>
      <c r="E54" s="279" t="s">
        <v>221</v>
      </c>
      <c r="F54" s="76"/>
      <c r="G54" s="69" t="s">
        <v>49</v>
      </c>
      <c r="H54" s="28"/>
      <c r="I54" s="245"/>
      <c r="K54" s="366">
        <v>17</v>
      </c>
      <c r="L54" s="367" t="e">
        <f>MATCH(K54,'Ballot Entry'!$K$3:$K$37,0)</f>
        <v>#N/A</v>
      </c>
      <c r="M54" s="368" t="e">
        <f t="shared" si="9"/>
        <v>#N/A</v>
      </c>
      <c r="N54" s="368" t="e">
        <f t="shared" si="10"/>
        <v>#N/A</v>
      </c>
      <c r="O54" s="368" t="e">
        <f t="shared" si="11"/>
        <v>#N/A</v>
      </c>
      <c r="P54" s="368" t="e">
        <f t="shared" si="12"/>
        <v>#N/A</v>
      </c>
      <c r="Q54" s="374" t="e">
        <f t="shared" si="13"/>
        <v>#N/A</v>
      </c>
      <c r="R54" s="57"/>
      <c r="S54" s="57"/>
      <c r="T54" s="149">
        <f t="shared" si="8"/>
        <v>200</v>
      </c>
      <c r="U54" s="98">
        <f>'Tournament Info'!C66</f>
        <v>0</v>
      </c>
      <c r="V54" s="32" t="s">
        <v>356</v>
      </c>
      <c r="W54" s="402">
        <f>'Tournament Info'!B66</f>
        <v>0</v>
      </c>
      <c r="X54" s="148">
        <f>'Tab Summary'!P168+('Tab Summary'!T168/2)</f>
        <v>0</v>
      </c>
      <c r="Y54" s="31">
        <f>'Tab Summary'!Y168</f>
        <v>0</v>
      </c>
      <c r="Z54" s="148">
        <f>'Tab Summary'!P170</f>
        <v>0</v>
      </c>
      <c r="AA54" s="31">
        <f>'Tab Summary'!Y169</f>
        <v>0</v>
      </c>
      <c r="AB54" s="148">
        <f>'Tab Summary'!R170</f>
        <v>0</v>
      </c>
      <c r="AC54" s="20">
        <f>'Tab Summary'!T170</f>
        <v>0</v>
      </c>
      <c r="AD54" s="360">
        <f>'Tab Summary'!Y169</f>
        <v>0</v>
      </c>
      <c r="AE54" s="100"/>
      <c r="AF54" s="95">
        <v>52</v>
      </c>
      <c r="AG54" s="149">
        <f t="shared" si="14"/>
        <v>200</v>
      </c>
      <c r="AH54" s="95">
        <f>MATCH(AG54,'Ballot Entry'!$T$3:$T$72,0)</f>
        <v>19</v>
      </c>
      <c r="AI54" s="57"/>
      <c r="AJ54" s="57"/>
      <c r="AK54" s="57">
        <f>IF(U54&lt;1770,COUNTIF('Tab Summary'!D169:L169,"W")+COUNTIF('Tab Summary'!D169:L169,"T")/2,0)</f>
        <v>0</v>
      </c>
      <c r="AL54" s="57"/>
      <c r="AM54" s="57">
        <f t="shared" si="15"/>
        <v>0</v>
      </c>
      <c r="AN54" s="57">
        <f t="shared" si="16"/>
        <v>0</v>
      </c>
      <c r="AP54" s="57"/>
      <c r="AQ54" s="57"/>
      <c r="AR54" s="57"/>
    </row>
    <row r="55" spans="1:44" x14ac:dyDescent="0.2">
      <c r="A55" s="63" t="str">
        <f>IF(Teams&gt;=36, "1", "Hide")</f>
        <v>Hide</v>
      </c>
      <c r="B55" s="386"/>
      <c r="G55" s="68" t="s">
        <v>50</v>
      </c>
      <c r="H55" s="29"/>
      <c r="I55" s="246"/>
      <c r="K55" s="366">
        <v>18</v>
      </c>
      <c r="L55" s="367" t="e">
        <f>MATCH(K55,'Ballot Entry'!$K$3:$K$37,0)</f>
        <v>#N/A</v>
      </c>
      <c r="M55" s="368" t="e">
        <f t="shared" si="9"/>
        <v>#N/A</v>
      </c>
      <c r="N55" s="368" t="e">
        <f t="shared" si="10"/>
        <v>#N/A</v>
      </c>
      <c r="O55" s="368" t="e">
        <f t="shared" si="11"/>
        <v>#N/A</v>
      </c>
      <c r="P55" s="368" t="e">
        <f t="shared" si="12"/>
        <v>#N/A</v>
      </c>
      <c r="Q55" s="374" t="e">
        <f t="shared" si="13"/>
        <v>#N/A</v>
      </c>
      <c r="R55" s="57"/>
      <c r="S55" s="57"/>
      <c r="T55" s="149">
        <f t="shared" si="8"/>
        <v>200</v>
      </c>
      <c r="U55" s="98">
        <f>'Tournament Info'!C67</f>
        <v>0</v>
      </c>
      <c r="V55" s="32" t="s">
        <v>357</v>
      </c>
      <c r="W55" s="402">
        <f>'Tournament Info'!B67</f>
        <v>0</v>
      </c>
      <c r="X55" s="148">
        <f>'Tab Summary'!P171+('Tab Summary'!T171/2)</f>
        <v>0</v>
      </c>
      <c r="Y55" s="31">
        <f>'Tab Summary'!Y171</f>
        <v>0</v>
      </c>
      <c r="Z55" s="148">
        <f>'Tab Summary'!P173</f>
        <v>0</v>
      </c>
      <c r="AA55" s="31">
        <f>'Tab Summary'!Y172</f>
        <v>0</v>
      </c>
      <c r="AB55" s="148">
        <f>'Tab Summary'!R173</f>
        <v>0</v>
      </c>
      <c r="AC55" s="20">
        <f>'Tab Summary'!T173</f>
        <v>0</v>
      </c>
      <c r="AD55" s="360">
        <f>'Tab Summary'!Y172</f>
        <v>0</v>
      </c>
      <c r="AE55" s="100"/>
      <c r="AF55" s="95">
        <v>53</v>
      </c>
      <c r="AG55" s="149">
        <f t="shared" si="14"/>
        <v>200</v>
      </c>
      <c r="AH55" s="95">
        <f>MATCH(AG55,'Ballot Entry'!$T$3:$T$72,0)</f>
        <v>19</v>
      </c>
      <c r="AI55" s="57"/>
      <c r="AJ55" s="57"/>
      <c r="AK55" s="57">
        <f>IF(U55&lt;1770,COUNTIF('Tab Summary'!D172:L172,"W")+COUNTIF('Tab Summary'!D172:L172,"T")/2,0)</f>
        <v>0</v>
      </c>
      <c r="AL55" s="57"/>
      <c r="AM55" s="57">
        <f t="shared" si="15"/>
        <v>0</v>
      </c>
      <c r="AN55" s="57">
        <f t="shared" si="16"/>
        <v>0</v>
      </c>
      <c r="AP55" s="57"/>
      <c r="AQ55" s="57"/>
      <c r="AR55" s="57"/>
    </row>
    <row r="56" spans="1:44" ht="13.5" thickBot="1" x14ac:dyDescent="0.25">
      <c r="A56" s="64" t="str">
        <f>IF(Teams&gt;=36, IF(Ballots = 3, "1", "Hide"), "Hide")</f>
        <v>Hide</v>
      </c>
      <c r="B56" s="388"/>
      <c r="C56" s="281"/>
      <c r="D56" s="282"/>
      <c r="E56" s="282"/>
      <c r="F56" s="77"/>
      <c r="G56" s="70" t="s">
        <v>51</v>
      </c>
      <c r="H56" s="30"/>
      <c r="I56" s="247"/>
      <c r="K56" s="366">
        <v>19</v>
      </c>
      <c r="L56" s="367" t="e">
        <f>MATCH(K56,'Ballot Entry'!$K$3:$K$37,0)</f>
        <v>#N/A</v>
      </c>
      <c r="M56" s="368" t="e">
        <f t="shared" si="9"/>
        <v>#N/A</v>
      </c>
      <c r="N56" s="368" t="e">
        <f t="shared" si="10"/>
        <v>#N/A</v>
      </c>
      <c r="O56" s="368" t="e">
        <f t="shared" si="11"/>
        <v>#N/A</v>
      </c>
      <c r="P56" s="368" t="e">
        <f t="shared" si="12"/>
        <v>#N/A</v>
      </c>
      <c r="Q56" s="374" t="e">
        <f t="shared" si="13"/>
        <v>#N/A</v>
      </c>
      <c r="R56" s="57"/>
      <c r="S56" s="57"/>
      <c r="T56" s="149">
        <f>IF(U56&gt;=1770,201,(((X56*10)+IF(Y56&lt;&gt;0,1,0))*10000000000)+(((Z56*10)+IF(AA56&lt;&gt;0,1,0))*10000000)+((AB56*10)*1000)+(AC56+200))</f>
        <v>200</v>
      </c>
      <c r="U56" s="98">
        <f>'Tournament Info'!C68</f>
        <v>0</v>
      </c>
      <c r="V56" s="32" t="s">
        <v>358</v>
      </c>
      <c r="W56" s="402">
        <f>'Tournament Info'!B68</f>
        <v>0</v>
      </c>
      <c r="X56" s="148">
        <f>'Tab Summary'!P174+('Tab Summary'!T174/2)</f>
        <v>0</v>
      </c>
      <c r="Y56" s="31">
        <f>'Tab Summary'!Y174</f>
        <v>0</v>
      </c>
      <c r="Z56" s="148">
        <f>'Tab Summary'!P176</f>
        <v>0</v>
      </c>
      <c r="AA56" s="31">
        <f>'Tab Summary'!Y175</f>
        <v>0</v>
      </c>
      <c r="AB56" s="148">
        <f>'Tab Summary'!R176</f>
        <v>0</v>
      </c>
      <c r="AC56" s="20">
        <f>'Tab Summary'!T176</f>
        <v>0</v>
      </c>
      <c r="AD56" s="360">
        <f>'Tab Summary'!Y175</f>
        <v>0</v>
      </c>
      <c r="AE56" s="100"/>
      <c r="AF56" s="95">
        <v>54</v>
      </c>
      <c r="AG56" s="149">
        <f t="shared" si="14"/>
        <v>200</v>
      </c>
      <c r="AH56" s="95">
        <f>MATCH(AG56,'Ballot Entry'!$T$3:$T$72,0)</f>
        <v>19</v>
      </c>
      <c r="AI56" s="57"/>
      <c r="AJ56" s="57"/>
      <c r="AK56" s="57">
        <f>IF(U56&lt;1770,COUNTIF('Tab Summary'!D175:L175,"W")+COUNTIF('Tab Summary'!D175:L175,"T")/2,0)</f>
        <v>0</v>
      </c>
      <c r="AL56" s="57"/>
      <c r="AM56" s="57">
        <f t="shared" si="15"/>
        <v>0</v>
      </c>
      <c r="AN56" s="57">
        <f t="shared" si="16"/>
        <v>0</v>
      </c>
      <c r="AP56" s="57"/>
      <c r="AQ56" s="57"/>
      <c r="AR56" s="57"/>
    </row>
    <row r="57" spans="1:44" ht="15" thickTop="1" x14ac:dyDescent="0.3">
      <c r="A57" s="60" t="str">
        <f>IF(Teams&gt;=38, "1", "Hide")</f>
        <v>Hide</v>
      </c>
      <c r="B57" s="384"/>
      <c r="C57" s="276" t="s">
        <v>220</v>
      </c>
      <c r="D57" s="384"/>
      <c r="E57" s="276" t="s">
        <v>221</v>
      </c>
      <c r="F57" s="74"/>
      <c r="G57" s="67" t="s">
        <v>49</v>
      </c>
      <c r="H57" s="25"/>
      <c r="I57" s="242"/>
      <c r="K57" s="366">
        <v>20</v>
      </c>
      <c r="L57" s="367" t="e">
        <f>MATCH(K57,'Ballot Entry'!$K$3:$K$37,0)</f>
        <v>#N/A</v>
      </c>
      <c r="M57" s="368" t="e">
        <f t="shared" si="9"/>
        <v>#N/A</v>
      </c>
      <c r="N57" s="368" t="e">
        <f t="shared" si="10"/>
        <v>#N/A</v>
      </c>
      <c r="O57" s="368" t="e">
        <f t="shared" si="11"/>
        <v>#N/A</v>
      </c>
      <c r="P57" s="368" t="e">
        <f t="shared" si="12"/>
        <v>#N/A</v>
      </c>
      <c r="Q57" s="374" t="e">
        <f t="shared" si="13"/>
        <v>#N/A</v>
      </c>
      <c r="T57" s="149">
        <f t="shared" si="8"/>
        <v>200</v>
      </c>
      <c r="U57" s="98">
        <f>'Tournament Info'!C69</f>
        <v>0</v>
      </c>
      <c r="V57" s="32" t="s">
        <v>359</v>
      </c>
      <c r="W57" s="402">
        <f>'Tournament Info'!B69</f>
        <v>0</v>
      </c>
      <c r="X57" s="148">
        <f>'Tab Summary'!P177+('Tab Summary'!T177/2)</f>
        <v>0</v>
      </c>
      <c r="Y57" s="31">
        <f>'Tab Summary'!Y177</f>
        <v>0</v>
      </c>
      <c r="Z57" s="148">
        <f>'Tab Summary'!P179</f>
        <v>0</v>
      </c>
      <c r="AA57" s="31">
        <f>'Tab Summary'!Y178</f>
        <v>0</v>
      </c>
      <c r="AB57" s="148">
        <f>'Tab Summary'!R179</f>
        <v>0</v>
      </c>
      <c r="AC57" s="20">
        <f>'Tab Summary'!T179</f>
        <v>0</v>
      </c>
      <c r="AD57" s="360">
        <f>'Tab Summary'!Y178</f>
        <v>0</v>
      </c>
      <c r="AE57" s="100"/>
      <c r="AF57" s="95">
        <v>55</v>
      </c>
      <c r="AG57" s="149">
        <f t="shared" si="14"/>
        <v>200</v>
      </c>
      <c r="AH57" s="95">
        <f>MATCH(AG57,'Ballot Entry'!$T$3:$T$72,0)</f>
        <v>19</v>
      </c>
      <c r="AI57" s="57"/>
      <c r="AJ57" s="57"/>
      <c r="AK57" s="57">
        <f>IF(U57&lt;1770,COUNTIF('Tab Summary'!D178:L178,"W")+COUNTIF('Tab Summary'!D178:L178,"T")/2,0)</f>
        <v>0</v>
      </c>
      <c r="AL57" s="57"/>
      <c r="AM57" s="57">
        <f t="shared" si="15"/>
        <v>0</v>
      </c>
      <c r="AN57" s="57">
        <f t="shared" si="16"/>
        <v>0</v>
      </c>
      <c r="AP57" s="57"/>
      <c r="AQ57" s="57"/>
      <c r="AR57" s="57"/>
    </row>
    <row r="58" spans="1:44" x14ac:dyDescent="0.2">
      <c r="A58" s="61" t="str">
        <f>IF(Teams&gt;=38, "1", "Hide")</f>
        <v>Hide</v>
      </c>
      <c r="G58" s="68" t="s">
        <v>50</v>
      </c>
      <c r="H58" s="26"/>
      <c r="I58" s="243"/>
      <c r="K58" s="366">
        <v>21</v>
      </c>
      <c r="L58" s="367" t="e">
        <f>MATCH(K58,'Ballot Entry'!$K$3:$K$37,0)</f>
        <v>#N/A</v>
      </c>
      <c r="M58" s="368" t="e">
        <f t="shared" si="9"/>
        <v>#N/A</v>
      </c>
      <c r="N58" s="368" t="e">
        <f t="shared" si="10"/>
        <v>#N/A</v>
      </c>
      <c r="O58" s="368" t="e">
        <f t="shared" si="11"/>
        <v>#N/A</v>
      </c>
      <c r="P58" s="368" t="e">
        <f t="shared" si="12"/>
        <v>#N/A</v>
      </c>
      <c r="Q58" s="374" t="e">
        <f t="shared" si="13"/>
        <v>#N/A</v>
      </c>
      <c r="T58" s="149">
        <f t="shared" si="8"/>
        <v>200</v>
      </c>
      <c r="U58" s="98">
        <f>'Tournament Info'!C70</f>
        <v>0</v>
      </c>
      <c r="V58" s="32" t="s">
        <v>360</v>
      </c>
      <c r="W58" s="402">
        <f>'Tournament Info'!B70</f>
        <v>0</v>
      </c>
      <c r="X58" s="148">
        <f>'Tab Summary'!P180+('Tab Summary'!T180/2)</f>
        <v>0</v>
      </c>
      <c r="Y58" s="31">
        <f>'Tab Summary'!Y180</f>
        <v>0</v>
      </c>
      <c r="Z58" s="148">
        <f>'Tab Summary'!P182</f>
        <v>0</v>
      </c>
      <c r="AA58" s="31">
        <f>'Tab Summary'!Y181</f>
        <v>0</v>
      </c>
      <c r="AB58" s="148">
        <f>'Tab Summary'!R182</f>
        <v>0</v>
      </c>
      <c r="AC58" s="20">
        <f>'Tab Summary'!T182</f>
        <v>0</v>
      </c>
      <c r="AD58" s="360">
        <f>'Tab Summary'!Y181</f>
        <v>0</v>
      </c>
      <c r="AE58" s="100"/>
      <c r="AF58" s="95">
        <v>56</v>
      </c>
      <c r="AG58" s="149">
        <f t="shared" si="14"/>
        <v>200</v>
      </c>
      <c r="AH58" s="95">
        <f>MATCH(AG58,'Ballot Entry'!$T$3:$T$72,0)</f>
        <v>19</v>
      </c>
      <c r="AI58" s="57"/>
      <c r="AJ58" s="57"/>
      <c r="AK58" s="57">
        <f>IF(U58&lt;1770,COUNTIF('Tab Summary'!D181:L181,"W")+COUNTIF('Tab Summary'!D181:L181,"T")/2,0)</f>
        <v>0</v>
      </c>
      <c r="AL58" s="57"/>
      <c r="AM58" s="57">
        <f t="shared" si="15"/>
        <v>0</v>
      </c>
      <c r="AN58" s="57">
        <f t="shared" si="16"/>
        <v>0</v>
      </c>
      <c r="AP58" s="57"/>
      <c r="AQ58" s="57"/>
      <c r="AR58" s="57"/>
    </row>
    <row r="59" spans="1:44" ht="13.5" thickBot="1" x14ac:dyDescent="0.25">
      <c r="A59" s="61" t="str">
        <f>IF(Teams&gt;=38, IF(Ballots = 3, "1", "Hide"), "Hide")</f>
        <v>Hide</v>
      </c>
      <c r="B59" s="386"/>
      <c r="C59" s="277"/>
      <c r="D59" s="278"/>
      <c r="E59" s="278"/>
      <c r="F59" s="75"/>
      <c r="G59" s="68" t="s">
        <v>51</v>
      </c>
      <c r="H59" s="27"/>
      <c r="I59" s="244"/>
      <c r="K59" s="366">
        <v>22</v>
      </c>
      <c r="L59" s="367" t="e">
        <f>MATCH(K59,'Ballot Entry'!$K$3:$K$37,0)</f>
        <v>#N/A</v>
      </c>
      <c r="M59" s="368" t="e">
        <f t="shared" si="9"/>
        <v>#N/A</v>
      </c>
      <c r="N59" s="368" t="e">
        <f t="shared" si="10"/>
        <v>#N/A</v>
      </c>
      <c r="O59" s="368" t="e">
        <f t="shared" si="11"/>
        <v>#N/A</v>
      </c>
      <c r="P59" s="368" t="e">
        <f t="shared" si="12"/>
        <v>#N/A</v>
      </c>
      <c r="Q59" s="374" t="e">
        <f t="shared" si="13"/>
        <v>#N/A</v>
      </c>
      <c r="T59" s="149">
        <f t="shared" si="8"/>
        <v>200</v>
      </c>
      <c r="U59" s="98">
        <f>'Tournament Info'!C71</f>
        <v>0</v>
      </c>
      <c r="V59" s="32" t="s">
        <v>361</v>
      </c>
      <c r="W59" s="402">
        <f>'Tournament Info'!B71</f>
        <v>0</v>
      </c>
      <c r="X59" s="148">
        <f>'Tab Summary'!P183+('Tab Summary'!T183/2)</f>
        <v>0</v>
      </c>
      <c r="Y59" s="31">
        <f>'Tab Summary'!Y183</f>
        <v>0</v>
      </c>
      <c r="Z59" s="148">
        <f>'Tab Summary'!P185</f>
        <v>0</v>
      </c>
      <c r="AA59" s="31">
        <f>'Tab Summary'!Y184</f>
        <v>0</v>
      </c>
      <c r="AB59" s="148">
        <f>'Tab Summary'!R185</f>
        <v>0</v>
      </c>
      <c r="AC59" s="20">
        <f>'Tab Summary'!T185</f>
        <v>0</v>
      </c>
      <c r="AD59" s="360">
        <f>'Tab Summary'!Y184</f>
        <v>0</v>
      </c>
      <c r="AE59" s="100"/>
      <c r="AF59" s="95">
        <v>57</v>
      </c>
      <c r="AG59" s="149">
        <f t="shared" si="14"/>
        <v>200</v>
      </c>
      <c r="AH59" s="95">
        <f>MATCH(AG59,'Ballot Entry'!$T$3:$T$72,0)</f>
        <v>19</v>
      </c>
      <c r="AI59" s="57"/>
      <c r="AJ59" s="57"/>
      <c r="AK59" s="57">
        <f>IF(U59&lt;1770,COUNTIF('Tab Summary'!D184:L184,"W")+COUNTIF('Tab Summary'!D184:L184,"T")/2,0)</f>
        <v>0</v>
      </c>
      <c r="AL59" s="57"/>
      <c r="AM59" s="57">
        <f t="shared" si="15"/>
        <v>0</v>
      </c>
      <c r="AN59" s="57">
        <f t="shared" si="16"/>
        <v>0</v>
      </c>
      <c r="AP59" s="57"/>
      <c r="AQ59" s="57"/>
      <c r="AR59" s="57"/>
    </row>
    <row r="60" spans="1:44" ht="15" thickTop="1" x14ac:dyDescent="0.3">
      <c r="A60" s="62" t="str">
        <f>IF(Teams&gt;=40, "1", "Hide")</f>
        <v>Hide</v>
      </c>
      <c r="B60" s="387"/>
      <c r="C60" s="279" t="s">
        <v>220</v>
      </c>
      <c r="D60" s="280"/>
      <c r="E60" s="279" t="s">
        <v>221</v>
      </c>
      <c r="F60" s="76"/>
      <c r="G60" s="69" t="s">
        <v>49</v>
      </c>
      <c r="H60" s="28"/>
      <c r="I60" s="245"/>
      <c r="K60" s="366">
        <v>23</v>
      </c>
      <c r="L60" s="367" t="e">
        <f>MATCH(K60,'Ballot Entry'!$K$3:$K$37,0)</f>
        <v>#N/A</v>
      </c>
      <c r="M60" s="368" t="e">
        <f t="shared" si="9"/>
        <v>#N/A</v>
      </c>
      <c r="N60" s="368" t="e">
        <f t="shared" si="10"/>
        <v>#N/A</v>
      </c>
      <c r="O60" s="368" t="e">
        <f t="shared" si="11"/>
        <v>#N/A</v>
      </c>
      <c r="P60" s="368" t="e">
        <f t="shared" si="12"/>
        <v>#N/A</v>
      </c>
      <c r="Q60" s="374" t="e">
        <f t="shared" si="13"/>
        <v>#N/A</v>
      </c>
      <c r="T60" s="149">
        <f t="shared" si="8"/>
        <v>200</v>
      </c>
      <c r="U60" s="98">
        <f>'Tournament Info'!C72</f>
        <v>0</v>
      </c>
      <c r="V60" s="32" t="s">
        <v>362</v>
      </c>
      <c r="W60" s="402">
        <f>'Tournament Info'!B72</f>
        <v>0</v>
      </c>
      <c r="X60" s="148">
        <f>'Tab Summary'!P186+('Tab Summary'!T186/2)</f>
        <v>0</v>
      </c>
      <c r="Y60" s="31">
        <f>'Tab Summary'!Y186</f>
        <v>0</v>
      </c>
      <c r="Z60" s="148">
        <f>'Tab Summary'!P188</f>
        <v>0</v>
      </c>
      <c r="AA60" s="31">
        <f>'Tab Summary'!Y187</f>
        <v>0</v>
      </c>
      <c r="AB60" s="148">
        <f>'Tab Summary'!R188</f>
        <v>0</v>
      </c>
      <c r="AC60" s="20">
        <f>'Tab Summary'!T188</f>
        <v>0</v>
      </c>
      <c r="AD60" s="360">
        <f>'Tab Summary'!Y187</f>
        <v>0</v>
      </c>
      <c r="AE60" s="100"/>
      <c r="AF60" s="95">
        <v>58</v>
      </c>
      <c r="AG60" s="149">
        <f t="shared" si="14"/>
        <v>200</v>
      </c>
      <c r="AH60" s="95">
        <f>MATCH(AG60,'Ballot Entry'!$T$3:$T$72,0)</f>
        <v>19</v>
      </c>
      <c r="AI60" s="57"/>
      <c r="AJ60" s="57"/>
      <c r="AK60" s="57">
        <f>IF(U60&lt;1770,COUNTIF('Tab Summary'!D187:L187,"W")+COUNTIF('Tab Summary'!D187:L187,"T")/2,0)</f>
        <v>0</v>
      </c>
      <c r="AL60" s="57"/>
      <c r="AM60" s="57">
        <f t="shared" si="15"/>
        <v>0</v>
      </c>
      <c r="AN60" s="57">
        <f t="shared" si="16"/>
        <v>0</v>
      </c>
      <c r="AP60" s="57"/>
      <c r="AQ60" s="57"/>
      <c r="AR60" s="57"/>
    </row>
    <row r="61" spans="1:44" x14ac:dyDescent="0.2">
      <c r="A61" s="63" t="str">
        <f>IF(Teams&gt;=40, "1", "Hide")</f>
        <v>Hide</v>
      </c>
      <c r="B61" s="386"/>
      <c r="G61" s="68" t="s">
        <v>50</v>
      </c>
      <c r="H61" s="29"/>
      <c r="I61" s="246"/>
      <c r="K61" s="366">
        <v>24</v>
      </c>
      <c r="L61" s="367" t="e">
        <f>MATCH(K61,'Ballot Entry'!$K$3:$K$37,0)</f>
        <v>#N/A</v>
      </c>
      <c r="M61" s="368" t="e">
        <f t="shared" si="9"/>
        <v>#N/A</v>
      </c>
      <c r="N61" s="368" t="e">
        <f t="shared" si="10"/>
        <v>#N/A</v>
      </c>
      <c r="O61" s="368" t="e">
        <f t="shared" si="11"/>
        <v>#N/A</v>
      </c>
      <c r="P61" s="368" t="e">
        <f t="shared" si="12"/>
        <v>#N/A</v>
      </c>
      <c r="Q61" s="374" t="e">
        <f t="shared" si="13"/>
        <v>#N/A</v>
      </c>
      <c r="T61" s="149">
        <f t="shared" si="8"/>
        <v>200</v>
      </c>
      <c r="U61" s="98">
        <f>'Tournament Info'!C73</f>
        <v>0</v>
      </c>
      <c r="V61" s="32" t="s">
        <v>363</v>
      </c>
      <c r="W61" s="402">
        <f>'Tournament Info'!B73</f>
        <v>0</v>
      </c>
      <c r="X61" s="148">
        <f>'Tab Summary'!P189+('Tab Summary'!T189/2)</f>
        <v>0</v>
      </c>
      <c r="Y61" s="31">
        <f>'Tab Summary'!Y189</f>
        <v>0</v>
      </c>
      <c r="Z61" s="148">
        <f>'Tab Summary'!P191</f>
        <v>0</v>
      </c>
      <c r="AA61" s="31">
        <f>'Tab Summary'!Y190</f>
        <v>0</v>
      </c>
      <c r="AB61" s="148">
        <f>'Tab Summary'!R191</f>
        <v>0</v>
      </c>
      <c r="AC61" s="20">
        <f>'Tab Summary'!T191</f>
        <v>0</v>
      </c>
      <c r="AD61" s="360">
        <f>'Tab Summary'!Y190</f>
        <v>0</v>
      </c>
      <c r="AE61" s="100"/>
      <c r="AF61" s="95">
        <v>59</v>
      </c>
      <c r="AG61" s="149">
        <f t="shared" si="14"/>
        <v>200</v>
      </c>
      <c r="AH61" s="95">
        <f>MATCH(AG61,'Ballot Entry'!$T$3:$T$72,0)</f>
        <v>19</v>
      </c>
      <c r="AI61" s="57"/>
      <c r="AJ61" s="57"/>
      <c r="AK61" s="57">
        <f>IF(U61&lt;1770,COUNTIF('Tab Summary'!D190:L190,"W")+COUNTIF('Tab Summary'!D190:L190,"T")/2,0)</f>
        <v>0</v>
      </c>
      <c r="AL61" s="57"/>
      <c r="AM61" s="57">
        <f t="shared" si="15"/>
        <v>0</v>
      </c>
      <c r="AN61" s="57">
        <f t="shared" si="16"/>
        <v>0</v>
      </c>
      <c r="AP61" s="57"/>
      <c r="AQ61" s="57"/>
      <c r="AR61" s="57"/>
    </row>
    <row r="62" spans="1:44" ht="13.5" thickBot="1" x14ac:dyDescent="0.25">
      <c r="A62" s="64" t="str">
        <f>IF(Teams&gt;=40, IF(Ballots = 3, "1", "Hide"), "Hide")</f>
        <v>Hide</v>
      </c>
      <c r="B62" s="388"/>
      <c r="C62" s="281"/>
      <c r="D62" s="282"/>
      <c r="E62" s="282"/>
      <c r="F62" s="77"/>
      <c r="G62" s="70" t="s">
        <v>51</v>
      </c>
      <c r="H62" s="30"/>
      <c r="I62" s="247"/>
      <c r="K62" s="366">
        <v>25</v>
      </c>
      <c r="L62" s="367" t="e">
        <f>MATCH(K62,'Ballot Entry'!$K$3:$K$37,0)</f>
        <v>#N/A</v>
      </c>
      <c r="M62" s="368" t="e">
        <f t="shared" si="9"/>
        <v>#N/A</v>
      </c>
      <c r="N62" s="368" t="e">
        <f t="shared" si="10"/>
        <v>#N/A</v>
      </c>
      <c r="O62" s="368" t="e">
        <f t="shared" si="11"/>
        <v>#N/A</v>
      </c>
      <c r="P62" s="368" t="e">
        <f t="shared" si="12"/>
        <v>#N/A</v>
      </c>
      <c r="Q62" s="374" t="e">
        <f t="shared" si="13"/>
        <v>#N/A</v>
      </c>
      <c r="T62" s="149">
        <f t="shared" si="8"/>
        <v>200</v>
      </c>
      <c r="U62" s="98">
        <f>'Tournament Info'!C74</f>
        <v>0</v>
      </c>
      <c r="V62" s="32" t="s">
        <v>364</v>
      </c>
      <c r="W62" s="402">
        <f>'Tournament Info'!B74</f>
        <v>0</v>
      </c>
      <c r="X62" s="148">
        <f>'Tab Summary'!P192+('Tab Summary'!T192/2)</f>
        <v>0</v>
      </c>
      <c r="Y62" s="31">
        <f>'Tab Summary'!Y192</f>
        <v>0</v>
      </c>
      <c r="Z62" s="148">
        <f>'Tab Summary'!P194</f>
        <v>0</v>
      </c>
      <c r="AA62" s="31">
        <f>'Tab Summary'!Y193</f>
        <v>0</v>
      </c>
      <c r="AB62" s="148">
        <f>'Tab Summary'!R194</f>
        <v>0</v>
      </c>
      <c r="AC62" s="20">
        <f>'Tab Summary'!T194</f>
        <v>0</v>
      </c>
      <c r="AD62" s="360">
        <f>'Tab Summary'!Y193</f>
        <v>0</v>
      </c>
      <c r="AE62" s="100"/>
      <c r="AF62" s="95">
        <v>60</v>
      </c>
      <c r="AG62" s="149">
        <f t="shared" si="14"/>
        <v>200</v>
      </c>
      <c r="AH62" s="95">
        <f>MATCH(AG62,'Ballot Entry'!$T$3:$T$72,0)</f>
        <v>19</v>
      </c>
      <c r="AI62" s="57"/>
      <c r="AJ62" s="57"/>
      <c r="AK62" s="57">
        <f>IF(U62&lt;1770,COUNTIF('Tab Summary'!D193:L193,"W")+COUNTIF('Tab Summary'!D193:L193,"T")/2,0)</f>
        <v>0</v>
      </c>
      <c r="AL62" s="57"/>
      <c r="AM62" s="57">
        <f t="shared" si="15"/>
        <v>0</v>
      </c>
      <c r="AN62" s="57">
        <f t="shared" si="16"/>
        <v>0</v>
      </c>
      <c r="AP62" s="57"/>
      <c r="AQ62" s="57"/>
      <c r="AR62" s="57"/>
    </row>
    <row r="63" spans="1:44" ht="15" thickTop="1" x14ac:dyDescent="0.3">
      <c r="A63" s="60" t="str">
        <f>IF(Teams&gt;=42, "1", "Hide")</f>
        <v>Hide</v>
      </c>
      <c r="B63" s="384"/>
      <c r="C63" s="276" t="s">
        <v>220</v>
      </c>
      <c r="D63" s="384"/>
      <c r="E63" s="276" t="s">
        <v>221</v>
      </c>
      <c r="F63" s="74"/>
      <c r="G63" s="67" t="s">
        <v>49</v>
      </c>
      <c r="H63" s="25"/>
      <c r="I63" s="242"/>
      <c r="K63" s="366">
        <v>26</v>
      </c>
      <c r="L63" s="367" t="e">
        <f>MATCH(K63,'Ballot Entry'!$K$3:$K$37,0)</f>
        <v>#N/A</v>
      </c>
      <c r="M63" s="368" t="e">
        <f t="shared" si="9"/>
        <v>#N/A</v>
      </c>
      <c r="N63" s="368" t="e">
        <f t="shared" si="10"/>
        <v>#N/A</v>
      </c>
      <c r="O63" s="368" t="e">
        <f t="shared" si="11"/>
        <v>#N/A</v>
      </c>
      <c r="P63" s="368" t="e">
        <f t="shared" si="12"/>
        <v>#N/A</v>
      </c>
      <c r="Q63" s="374" t="e">
        <f t="shared" si="13"/>
        <v>#N/A</v>
      </c>
      <c r="T63" s="149">
        <f t="shared" si="8"/>
        <v>200</v>
      </c>
      <c r="U63" s="98">
        <f>'Tournament Info'!C75</f>
        <v>0</v>
      </c>
      <c r="V63" s="32" t="s">
        <v>365</v>
      </c>
      <c r="W63" s="402">
        <f>'Tournament Info'!B75</f>
        <v>0</v>
      </c>
      <c r="X63" s="148">
        <f>'Tab Summary'!P195+('Tab Summary'!T195/2)</f>
        <v>0</v>
      </c>
      <c r="Y63" s="31">
        <f>'Tab Summary'!Y195</f>
        <v>0</v>
      </c>
      <c r="Z63" s="148">
        <f>'Tab Summary'!P197</f>
        <v>0</v>
      </c>
      <c r="AA63" s="31">
        <f>'Tab Summary'!Y196</f>
        <v>0</v>
      </c>
      <c r="AB63" s="148">
        <f>'Tab Summary'!R197</f>
        <v>0</v>
      </c>
      <c r="AC63" s="20">
        <f>'Tab Summary'!T197</f>
        <v>0</v>
      </c>
      <c r="AD63" s="360">
        <f>'Tab Summary'!Y196</f>
        <v>0</v>
      </c>
      <c r="AE63" s="100"/>
      <c r="AF63" s="95">
        <v>61</v>
      </c>
      <c r="AG63" s="149">
        <f t="shared" si="14"/>
        <v>200</v>
      </c>
      <c r="AH63" s="95">
        <f>MATCH(AG63,'Ballot Entry'!$T$3:$T$72,0)</f>
        <v>19</v>
      </c>
      <c r="AI63" s="57"/>
      <c r="AJ63" s="57"/>
      <c r="AK63" s="57">
        <f>IF(U63&lt;1770,COUNTIF('Tab Summary'!D196:L196,"W")+COUNTIF('Tab Summary'!D196:L196,"T")/2,0)</f>
        <v>0</v>
      </c>
      <c r="AL63" s="57"/>
      <c r="AM63" s="57">
        <f t="shared" si="15"/>
        <v>0</v>
      </c>
      <c r="AN63" s="57">
        <f t="shared" si="16"/>
        <v>0</v>
      </c>
      <c r="AP63" s="57"/>
      <c r="AQ63" s="57"/>
      <c r="AR63" s="57"/>
    </row>
    <row r="64" spans="1:44" x14ac:dyDescent="0.2">
      <c r="A64" s="61" t="str">
        <f>IF(Teams&gt;=42, "1", "Hide")</f>
        <v>Hide</v>
      </c>
      <c r="G64" s="68" t="s">
        <v>50</v>
      </c>
      <c r="H64" s="26"/>
      <c r="I64" s="243"/>
      <c r="K64" s="366">
        <v>27</v>
      </c>
      <c r="L64" s="367" t="e">
        <f>MATCH(K64,'Ballot Entry'!$K$3:$K$37,0)</f>
        <v>#N/A</v>
      </c>
      <c r="M64" s="368" t="e">
        <f t="shared" si="9"/>
        <v>#N/A</v>
      </c>
      <c r="N64" s="368" t="e">
        <f t="shared" si="10"/>
        <v>#N/A</v>
      </c>
      <c r="O64" s="368" t="e">
        <f t="shared" si="11"/>
        <v>#N/A</v>
      </c>
      <c r="P64" s="368" t="e">
        <f t="shared" si="12"/>
        <v>#N/A</v>
      </c>
      <c r="Q64" s="374" t="e">
        <f t="shared" si="13"/>
        <v>#N/A</v>
      </c>
      <c r="T64" s="149">
        <f t="shared" si="8"/>
        <v>200</v>
      </c>
      <c r="U64" s="98">
        <f>'Tournament Info'!C76</f>
        <v>0</v>
      </c>
      <c r="V64" s="32" t="s">
        <v>366</v>
      </c>
      <c r="W64" s="402">
        <f>'Tournament Info'!B76</f>
        <v>0</v>
      </c>
      <c r="X64" s="148">
        <f>'Tab Summary'!P198+('Tab Summary'!T198/2)</f>
        <v>0</v>
      </c>
      <c r="Y64" s="31">
        <f>'Tab Summary'!Y198</f>
        <v>0</v>
      </c>
      <c r="Z64" s="148">
        <f>'Tab Summary'!P200</f>
        <v>0</v>
      </c>
      <c r="AA64" s="31">
        <f>'Tab Summary'!Y199</f>
        <v>0</v>
      </c>
      <c r="AB64" s="148">
        <f>'Tab Summary'!R200</f>
        <v>0</v>
      </c>
      <c r="AC64" s="20">
        <f>'Tab Summary'!T200</f>
        <v>0</v>
      </c>
      <c r="AD64" s="360">
        <f>'Tab Summary'!Y199</f>
        <v>0</v>
      </c>
      <c r="AE64" s="100"/>
      <c r="AF64" s="95">
        <v>62</v>
      </c>
      <c r="AG64" s="149">
        <f t="shared" si="14"/>
        <v>200</v>
      </c>
      <c r="AH64" s="95">
        <f>MATCH(AG64,'Ballot Entry'!$T$3:$T$72,0)</f>
        <v>19</v>
      </c>
      <c r="AI64" s="57"/>
      <c r="AJ64" s="57"/>
      <c r="AK64" s="57">
        <f>IF(U64&lt;1770,COUNTIF('Tab Summary'!D199:L199,"W")+COUNTIF('Tab Summary'!D199:L199,"T")/2,0)</f>
        <v>0</v>
      </c>
      <c r="AL64" s="57"/>
      <c r="AM64" s="57">
        <f t="shared" si="15"/>
        <v>0</v>
      </c>
      <c r="AN64" s="57">
        <f t="shared" si="16"/>
        <v>0</v>
      </c>
      <c r="AP64" s="57"/>
      <c r="AQ64" s="57"/>
      <c r="AR64" s="57"/>
    </row>
    <row r="65" spans="1:44" ht="13.5" thickBot="1" x14ac:dyDescent="0.25">
      <c r="A65" s="61" t="str">
        <f>IF(Teams&gt;=42, IF(Ballots = 3, "1", "Hide"), "Hide")</f>
        <v>Hide</v>
      </c>
      <c r="B65" s="386"/>
      <c r="C65" s="277"/>
      <c r="D65" s="278"/>
      <c r="E65" s="278"/>
      <c r="F65" s="75"/>
      <c r="G65" s="68" t="s">
        <v>51</v>
      </c>
      <c r="H65" s="27"/>
      <c r="I65" s="244"/>
      <c r="K65" s="366">
        <v>28</v>
      </c>
      <c r="L65" s="367" t="e">
        <f>MATCH(K65,'Ballot Entry'!$K$3:$K$37,0)</f>
        <v>#N/A</v>
      </c>
      <c r="M65" s="368" t="e">
        <f t="shared" si="9"/>
        <v>#N/A</v>
      </c>
      <c r="N65" s="368" t="e">
        <f t="shared" si="10"/>
        <v>#N/A</v>
      </c>
      <c r="O65" s="368" t="e">
        <f t="shared" si="11"/>
        <v>#N/A</v>
      </c>
      <c r="P65" s="368" t="e">
        <f t="shared" si="12"/>
        <v>#N/A</v>
      </c>
      <c r="Q65" s="374" t="e">
        <f t="shared" si="13"/>
        <v>#N/A</v>
      </c>
      <c r="T65" s="149">
        <f t="shared" si="8"/>
        <v>200</v>
      </c>
      <c r="U65" s="98">
        <f>'Tournament Info'!C77</f>
        <v>0</v>
      </c>
      <c r="V65" s="32" t="s">
        <v>367</v>
      </c>
      <c r="W65" s="402">
        <f>'Tournament Info'!B77</f>
        <v>0</v>
      </c>
      <c r="X65" s="148">
        <f>'Tab Summary'!P204+('Tab Summary'!T204/2)</f>
        <v>0</v>
      </c>
      <c r="Y65" s="31">
        <f>'Tab Summary'!Y204</f>
        <v>0</v>
      </c>
      <c r="Z65" s="148">
        <f>'Tab Summary'!P206</f>
        <v>0</v>
      </c>
      <c r="AA65" s="31">
        <f>'Tab Summary'!Y205</f>
        <v>0</v>
      </c>
      <c r="AB65" s="148">
        <f>'Tab Summary'!R206</f>
        <v>0</v>
      </c>
      <c r="AC65" s="20">
        <f>'Tab Summary'!T206</f>
        <v>0</v>
      </c>
      <c r="AD65" s="360">
        <f>'Tab Summary'!Y205</f>
        <v>0</v>
      </c>
      <c r="AE65" s="100"/>
      <c r="AF65" s="95">
        <v>63</v>
      </c>
      <c r="AG65" s="149">
        <f t="shared" si="14"/>
        <v>200</v>
      </c>
      <c r="AH65" s="95">
        <f>MATCH(AG65,'Ballot Entry'!$T$3:$T$72,0)</f>
        <v>19</v>
      </c>
      <c r="AI65" s="57"/>
      <c r="AJ65" s="57"/>
      <c r="AK65" s="57">
        <f>IF(U65&lt;1770,COUNTIF('Tab Summary'!D203:L203,"W")+COUNTIF('Tab Summary'!D203:L203,"T")/2,0)</f>
        <v>0</v>
      </c>
      <c r="AL65" s="57"/>
      <c r="AM65" s="57" t="e">
        <f>IF(#REF!&gt;=4.5,1,0)</f>
        <v>#REF!</v>
      </c>
      <c r="AN65" s="57" t="e">
        <f>IF(#REF!&gt;=LARGE($X$3:$X$42,Bids),1,0)</f>
        <v>#REF!</v>
      </c>
      <c r="AP65" s="57"/>
      <c r="AQ65" s="57"/>
      <c r="AR65" s="57"/>
    </row>
    <row r="66" spans="1:44" ht="15" thickTop="1" x14ac:dyDescent="0.3">
      <c r="A66" s="62" t="str">
        <f>IF(Teams&gt;=44, "1", "Hide")</f>
        <v>Hide</v>
      </c>
      <c r="B66" s="387"/>
      <c r="C66" s="279" t="s">
        <v>220</v>
      </c>
      <c r="D66" s="280"/>
      <c r="E66" s="279" t="s">
        <v>221</v>
      </c>
      <c r="F66" s="76"/>
      <c r="G66" s="69" t="s">
        <v>49</v>
      </c>
      <c r="H66" s="28"/>
      <c r="I66" s="245"/>
      <c r="K66" s="366">
        <v>29</v>
      </c>
      <c r="L66" s="367" t="e">
        <f>MATCH(K66,'Ballot Entry'!$K$3:$K$37,0)</f>
        <v>#N/A</v>
      </c>
      <c r="M66" s="368" t="e">
        <f t="shared" si="9"/>
        <v>#N/A</v>
      </c>
      <c r="N66" s="368" t="e">
        <f t="shared" si="10"/>
        <v>#N/A</v>
      </c>
      <c r="O66" s="368" t="e">
        <f t="shared" si="11"/>
        <v>#N/A</v>
      </c>
      <c r="P66" s="368" t="e">
        <f t="shared" si="12"/>
        <v>#N/A</v>
      </c>
      <c r="Q66" s="374" t="e">
        <f t="shared" si="13"/>
        <v>#N/A</v>
      </c>
      <c r="T66" s="149">
        <f t="shared" si="8"/>
        <v>200</v>
      </c>
      <c r="U66" s="98">
        <f>'Tournament Info'!C78</f>
        <v>0</v>
      </c>
      <c r="V66" s="32" t="s">
        <v>368</v>
      </c>
      <c r="W66" s="402">
        <f>'Tournament Info'!B78</f>
        <v>0</v>
      </c>
      <c r="X66" s="148">
        <f>'Tab Summary'!P207+('Tab Summary'!T207/2)</f>
        <v>0</v>
      </c>
      <c r="Y66" s="31">
        <f>'Tab Summary'!Y207</f>
        <v>0</v>
      </c>
      <c r="Z66" s="148">
        <f>'Tab Summary'!P209</f>
        <v>0</v>
      </c>
      <c r="AA66" s="31">
        <f>'Tab Summary'!Y208</f>
        <v>0</v>
      </c>
      <c r="AB66" s="148">
        <f>'Tab Summary'!R209</f>
        <v>0</v>
      </c>
      <c r="AC66" s="20">
        <f>'Tab Summary'!T209</f>
        <v>0</v>
      </c>
      <c r="AD66" s="360">
        <f>'Tab Summary'!Y208</f>
        <v>0</v>
      </c>
      <c r="AE66" s="100"/>
      <c r="AF66" s="95">
        <v>64</v>
      </c>
      <c r="AG66" s="149">
        <f t="shared" si="14"/>
        <v>200</v>
      </c>
      <c r="AH66" s="95">
        <f>MATCH(AG66,'Ballot Entry'!$T$3:$T$72,0)</f>
        <v>19</v>
      </c>
      <c r="AI66" s="57"/>
      <c r="AJ66" s="57"/>
      <c r="AK66" s="57">
        <f>IF(U66&lt;1770,COUNTIF('Tab Summary'!D208:L208,"W")+COUNTIF('Tab Summary'!D208:L208,"T")/2,0)</f>
        <v>0</v>
      </c>
      <c r="AL66" s="57"/>
      <c r="AM66" s="57" t="e">
        <f>IF(#REF!&gt;=4.5,1,0)</f>
        <v>#REF!</v>
      </c>
      <c r="AN66" s="57" t="e">
        <f>IF(#REF!&gt;=LARGE($X$3:$X$42,Bids),1,0)</f>
        <v>#REF!</v>
      </c>
      <c r="AP66" s="57"/>
      <c r="AQ66" s="57"/>
      <c r="AR66" s="57"/>
    </row>
    <row r="67" spans="1:44" x14ac:dyDescent="0.2">
      <c r="A67" s="63" t="str">
        <f>IF(Teams&gt;=44, "1", "Hide")</f>
        <v>Hide</v>
      </c>
      <c r="B67" s="386"/>
      <c r="G67" s="68" t="s">
        <v>50</v>
      </c>
      <c r="H67" s="29"/>
      <c r="I67" s="246"/>
      <c r="K67" s="366">
        <v>30</v>
      </c>
      <c r="L67" s="367" t="e">
        <f>MATCH(K67,'Ballot Entry'!$K$3:$K$37,0)</f>
        <v>#N/A</v>
      </c>
      <c r="M67" s="368" t="e">
        <f t="shared" si="9"/>
        <v>#N/A</v>
      </c>
      <c r="N67" s="368" t="e">
        <f t="shared" si="10"/>
        <v>#N/A</v>
      </c>
      <c r="O67" s="368" t="e">
        <f t="shared" si="11"/>
        <v>#N/A</v>
      </c>
      <c r="P67" s="368" t="e">
        <f t="shared" si="12"/>
        <v>#N/A</v>
      </c>
      <c r="Q67" s="374" t="e">
        <f t="shared" si="13"/>
        <v>#N/A</v>
      </c>
      <c r="T67" s="149">
        <f t="shared" si="8"/>
        <v>200</v>
      </c>
      <c r="U67" s="98">
        <f>'Tournament Info'!C79</f>
        <v>0</v>
      </c>
      <c r="V67" s="32" t="s">
        <v>369</v>
      </c>
      <c r="W67" s="402">
        <f>'Tournament Info'!B79</f>
        <v>0</v>
      </c>
      <c r="X67" s="148">
        <f>'Tab Summary'!P210+('Tab Summary'!T210/2)</f>
        <v>0</v>
      </c>
      <c r="Y67" s="31">
        <f>'Tab Summary'!Y210</f>
        <v>0</v>
      </c>
      <c r="Z67" s="148">
        <f>'Tab Summary'!P212</f>
        <v>0</v>
      </c>
      <c r="AA67" s="31">
        <f>'Tab Summary'!Y211</f>
        <v>0</v>
      </c>
      <c r="AB67" s="148">
        <f>'Tab Summary'!R212</f>
        <v>0</v>
      </c>
      <c r="AC67" s="20">
        <f>'Tab Summary'!T212</f>
        <v>0</v>
      </c>
      <c r="AD67" s="360">
        <f>'Tab Summary'!Y211</f>
        <v>0</v>
      </c>
      <c r="AE67" s="100"/>
      <c r="AF67" s="95">
        <v>65</v>
      </c>
      <c r="AG67" s="149">
        <f t="shared" si="14"/>
        <v>200</v>
      </c>
      <c r="AH67" s="95">
        <f>MATCH(AG67,'Ballot Entry'!$T$3:$T$72,0)</f>
        <v>19</v>
      </c>
      <c r="AI67" s="57"/>
      <c r="AJ67" s="57"/>
      <c r="AK67" s="57">
        <f>IF(U67&lt;1770,COUNTIF('Tab Summary'!D211:L211,"W")+COUNTIF('Tab Summary'!D211:L211,"T")/2,0)</f>
        <v>0</v>
      </c>
      <c r="AL67" s="57"/>
      <c r="AM67" s="57">
        <f>IF(X65&gt;=4.5,1,0)</f>
        <v>0</v>
      </c>
      <c r="AN67" s="57">
        <f>IF(X65&gt;=LARGE($X$3:$X$42,Bids),1,0)</f>
        <v>0</v>
      </c>
      <c r="AP67" s="57"/>
      <c r="AQ67" s="57"/>
      <c r="AR67" s="57"/>
    </row>
    <row r="68" spans="1:44" ht="13.5" thickBot="1" x14ac:dyDescent="0.25">
      <c r="A68" s="64" t="str">
        <f>IF(Teams&gt;=44, IF(Ballots = 3, "1", "Hide"), "Hide")</f>
        <v>Hide</v>
      </c>
      <c r="B68" s="388"/>
      <c r="C68" s="281"/>
      <c r="D68" s="282"/>
      <c r="E68" s="282"/>
      <c r="F68" s="77"/>
      <c r="G68" s="70" t="s">
        <v>51</v>
      </c>
      <c r="H68" s="30"/>
      <c r="I68" s="247"/>
      <c r="K68" s="366">
        <v>31</v>
      </c>
      <c r="L68" s="367" t="e">
        <f>MATCH(K68,'Ballot Entry'!$K$3:$K$37,0)</f>
        <v>#N/A</v>
      </c>
      <c r="M68" s="368" t="e">
        <f t="shared" si="9"/>
        <v>#N/A</v>
      </c>
      <c r="N68" s="368" t="e">
        <f t="shared" si="10"/>
        <v>#N/A</v>
      </c>
      <c r="O68" s="368" t="e">
        <f t="shared" si="11"/>
        <v>#N/A</v>
      </c>
      <c r="P68" s="368" t="e">
        <f t="shared" si="12"/>
        <v>#N/A</v>
      </c>
      <c r="Q68" s="374" t="e">
        <f t="shared" si="13"/>
        <v>#N/A</v>
      </c>
      <c r="T68" s="149">
        <f t="shared" si="8"/>
        <v>200</v>
      </c>
      <c r="U68" s="98">
        <f>'Tournament Info'!C80</f>
        <v>0</v>
      </c>
      <c r="V68" s="32" t="s">
        <v>370</v>
      </c>
      <c r="W68" s="402">
        <f>'Tournament Info'!B80</f>
        <v>0</v>
      </c>
      <c r="X68" s="148">
        <f>'Tab Summary'!P213+('Tab Summary'!T213/2)</f>
        <v>0</v>
      </c>
      <c r="Y68" s="31">
        <f>'Tab Summary'!Y213</f>
        <v>0</v>
      </c>
      <c r="Z68" s="148">
        <f>'Tab Summary'!P215</f>
        <v>0</v>
      </c>
      <c r="AA68" s="31">
        <f>'Tab Summary'!Y214</f>
        <v>0</v>
      </c>
      <c r="AB68" s="148">
        <f>'Tab Summary'!R215</f>
        <v>0</v>
      </c>
      <c r="AC68" s="20">
        <f>'Tab Summary'!T215</f>
        <v>0</v>
      </c>
      <c r="AD68" s="360">
        <f>'Tab Summary'!Y214</f>
        <v>0</v>
      </c>
      <c r="AE68" s="100"/>
      <c r="AF68" s="95">
        <v>66</v>
      </c>
      <c r="AG68" s="149">
        <f t="shared" si="14"/>
        <v>200</v>
      </c>
      <c r="AH68" s="95">
        <f>MATCH(AG68,'Ballot Entry'!$T$3:$T$72,0)</f>
        <v>19</v>
      </c>
      <c r="AI68" s="57"/>
      <c r="AJ68" s="57"/>
      <c r="AK68" s="57">
        <f>IF(U68&lt;1770,COUNTIF('Tab Summary'!D214:L214,"W")+COUNTIF('Tab Summary'!D214:L214,"T")/2,0)</f>
        <v>0</v>
      </c>
      <c r="AL68" s="57"/>
      <c r="AM68" s="57">
        <f>IF(X68&gt;=4.5,1,0)</f>
        <v>0</v>
      </c>
      <c r="AN68" s="57">
        <f>IF(X68&gt;=LARGE($X$3:$X$42,Bids),1,0)</f>
        <v>0</v>
      </c>
      <c r="AP68" s="57"/>
      <c r="AQ68" s="57"/>
      <c r="AR68" s="57"/>
    </row>
    <row r="69" spans="1:44" ht="15" thickTop="1" x14ac:dyDescent="0.3">
      <c r="A69" s="60" t="str">
        <f>IF(Teams&gt;=46, "1", "Hide")</f>
        <v>Hide</v>
      </c>
      <c r="B69" s="384"/>
      <c r="C69" s="276" t="s">
        <v>220</v>
      </c>
      <c r="D69" s="384"/>
      <c r="E69" s="276" t="s">
        <v>221</v>
      </c>
      <c r="F69" s="74"/>
      <c r="G69" s="67" t="s">
        <v>49</v>
      </c>
      <c r="H69" s="25"/>
      <c r="I69" s="242"/>
      <c r="K69" s="366">
        <v>32</v>
      </c>
      <c r="L69" s="367" t="e">
        <f>MATCH(K69,'Ballot Entry'!$K$3:$K$37,0)</f>
        <v>#N/A</v>
      </c>
      <c r="M69" s="368" t="e">
        <f t="shared" si="9"/>
        <v>#N/A</v>
      </c>
      <c r="N69" s="368" t="e">
        <f t="shared" si="10"/>
        <v>#N/A</v>
      </c>
      <c r="O69" s="368" t="e">
        <f t="shared" si="11"/>
        <v>#N/A</v>
      </c>
      <c r="P69" s="368" t="e">
        <f t="shared" si="12"/>
        <v>#N/A</v>
      </c>
      <c r="Q69" s="374" t="e">
        <f t="shared" si="13"/>
        <v>#N/A</v>
      </c>
      <c r="T69" s="149">
        <f t="shared" si="8"/>
        <v>200</v>
      </c>
      <c r="U69" s="98">
        <f>'Tournament Info'!C81</f>
        <v>0</v>
      </c>
      <c r="V69" s="32" t="s">
        <v>371</v>
      </c>
      <c r="W69" s="402">
        <f>'Tournament Info'!B81</f>
        <v>0</v>
      </c>
      <c r="X69" s="148">
        <f>'Tab Summary'!P216+('Tab Summary'!T216/2)</f>
        <v>0</v>
      </c>
      <c r="Y69" s="31">
        <f>'Tab Summary'!Y216</f>
        <v>0</v>
      </c>
      <c r="Z69" s="148">
        <f>'Tab Summary'!P218</f>
        <v>0</v>
      </c>
      <c r="AA69" s="31">
        <f>'Tab Summary'!Y217</f>
        <v>0</v>
      </c>
      <c r="AB69" s="148">
        <f>'Tab Summary'!R218</f>
        <v>0</v>
      </c>
      <c r="AC69" s="20">
        <f>'Tab Summary'!T218</f>
        <v>0</v>
      </c>
      <c r="AD69" s="360">
        <f>'Tab Summary'!Y217</f>
        <v>0</v>
      </c>
      <c r="AE69" s="100"/>
      <c r="AF69" s="95">
        <v>67</v>
      </c>
      <c r="AG69" s="149">
        <f t="shared" si="14"/>
        <v>200</v>
      </c>
      <c r="AH69" s="95">
        <f>MATCH(AG69,'Ballot Entry'!$T$3:$T$72,0)</f>
        <v>19</v>
      </c>
      <c r="AI69" s="57"/>
      <c r="AJ69" s="57"/>
      <c r="AK69" s="57">
        <f>IF(U69&lt;1770,COUNTIF('Tab Summary'!D217:L217,"W")+COUNTIF('Tab Summary'!D217:L217,"T")/2,0)</f>
        <v>0</v>
      </c>
      <c r="AL69" s="57"/>
      <c r="AM69" s="57">
        <f>IF(X69&gt;=4.5,1,0)</f>
        <v>0</v>
      </c>
      <c r="AN69" s="57">
        <f>IF(X69&gt;=LARGE($X$3:$X$42,Bids),1,0)</f>
        <v>0</v>
      </c>
      <c r="AP69" s="57"/>
      <c r="AQ69" s="57"/>
      <c r="AR69" s="57"/>
    </row>
    <row r="70" spans="1:44" x14ac:dyDescent="0.2">
      <c r="A70" s="61" t="str">
        <f>IF(Teams&gt;=46, "1", "Hide")</f>
        <v>Hide</v>
      </c>
      <c r="G70" s="68" t="s">
        <v>50</v>
      </c>
      <c r="H70" s="26"/>
      <c r="I70" s="243"/>
      <c r="K70" s="366">
        <v>33</v>
      </c>
      <c r="L70" s="367" t="e">
        <f>MATCH(K70,'Ballot Entry'!$K$3:$K$37,0)</f>
        <v>#N/A</v>
      </c>
      <c r="M70" s="368" t="e">
        <f t="shared" si="9"/>
        <v>#N/A</v>
      </c>
      <c r="N70" s="368" t="e">
        <f t="shared" si="10"/>
        <v>#N/A</v>
      </c>
      <c r="O70" s="368" t="e">
        <f t="shared" si="11"/>
        <v>#N/A</v>
      </c>
      <c r="P70" s="368" t="e">
        <f t="shared" si="12"/>
        <v>#N/A</v>
      </c>
      <c r="Q70" s="374" t="e">
        <f t="shared" si="13"/>
        <v>#N/A</v>
      </c>
      <c r="T70" s="149">
        <f t="shared" si="8"/>
        <v>200</v>
      </c>
      <c r="U70" s="98">
        <f>'Tournament Info'!C82</f>
        <v>0</v>
      </c>
      <c r="V70" s="32" t="s">
        <v>372</v>
      </c>
      <c r="W70" s="402">
        <f>'Tournament Info'!B82</f>
        <v>0</v>
      </c>
      <c r="X70" s="148">
        <f>'Tab Summary'!P219+('Tab Summary'!T219/2)</f>
        <v>0</v>
      </c>
      <c r="Y70" s="31">
        <f>'Tab Summary'!Y219</f>
        <v>0</v>
      </c>
      <c r="Z70" s="148">
        <f>'Tab Summary'!P221</f>
        <v>0</v>
      </c>
      <c r="AA70" s="31">
        <f>'Tab Summary'!Y220</f>
        <v>0</v>
      </c>
      <c r="AB70" s="148">
        <f>'Tab Summary'!R221</f>
        <v>0</v>
      </c>
      <c r="AC70" s="20">
        <f>'Tab Summary'!T221</f>
        <v>0</v>
      </c>
      <c r="AD70" s="360">
        <f>'Tab Summary'!Y220</f>
        <v>0</v>
      </c>
      <c r="AE70" s="100"/>
      <c r="AF70" s="95">
        <v>68</v>
      </c>
      <c r="AG70" s="149">
        <f t="shared" si="14"/>
        <v>200</v>
      </c>
      <c r="AH70" s="95">
        <f>MATCH(AG70,'Ballot Entry'!$T$3:$T$72,0)</f>
        <v>19</v>
      </c>
      <c r="AI70" s="57"/>
      <c r="AJ70" s="57"/>
      <c r="AK70" s="57">
        <f>IF(U70&lt;1770,COUNTIF('Tab Summary'!D220:L220,"W")+COUNTIF('Tab Summary'!D220:L220,"T")/2,0)</f>
        <v>0</v>
      </c>
      <c r="AL70" s="57"/>
      <c r="AM70" s="57">
        <f>IF(X70&gt;=4.5,1,0)</f>
        <v>0</v>
      </c>
      <c r="AN70" s="57">
        <f>IF(X70&gt;=LARGE($X$3:$X$42,Bids),1,0)</f>
        <v>0</v>
      </c>
      <c r="AP70" s="57"/>
      <c r="AQ70" s="57"/>
      <c r="AR70" s="57"/>
    </row>
    <row r="71" spans="1:44" ht="13.5" thickBot="1" x14ac:dyDescent="0.25">
      <c r="A71" s="61" t="str">
        <f>IF(Teams&gt;=46, IF(Ballots = 3, "1", "Hide"), "Hide")</f>
        <v>Hide</v>
      </c>
      <c r="B71" s="386"/>
      <c r="C71" s="277"/>
      <c r="D71" s="278"/>
      <c r="E71" s="278"/>
      <c r="F71" s="75"/>
      <c r="G71" s="68" t="s">
        <v>51</v>
      </c>
      <c r="H71" s="27"/>
      <c r="I71" s="244"/>
      <c r="K71" s="366">
        <v>34</v>
      </c>
      <c r="L71" s="367" t="e">
        <f>MATCH(K71,'Ballot Entry'!$K$3:$K$37,0)</f>
        <v>#N/A</v>
      </c>
      <c r="M71" s="368" t="e">
        <f t="shared" si="9"/>
        <v>#N/A</v>
      </c>
      <c r="N71" s="368" t="e">
        <f t="shared" si="10"/>
        <v>#N/A</v>
      </c>
      <c r="O71" s="368" t="e">
        <f t="shared" si="11"/>
        <v>#N/A</v>
      </c>
      <c r="P71" s="368" t="e">
        <f t="shared" si="12"/>
        <v>#N/A</v>
      </c>
      <c r="Q71" s="374" t="e">
        <f t="shared" si="13"/>
        <v>#N/A</v>
      </c>
      <c r="T71" s="149">
        <f t="shared" si="8"/>
        <v>200</v>
      </c>
      <c r="U71" s="98">
        <f>'Tournament Info'!C83</f>
        <v>0</v>
      </c>
      <c r="V71" s="32" t="s">
        <v>373</v>
      </c>
      <c r="W71" s="402">
        <f>'Tournament Info'!B83</f>
        <v>0</v>
      </c>
      <c r="X71" s="148">
        <f>'Tab Summary'!P222+('Tab Summary'!T222/2)</f>
        <v>0</v>
      </c>
      <c r="Y71" s="31">
        <f>'Tab Summary'!Y222</f>
        <v>0</v>
      </c>
      <c r="Z71" s="148">
        <f>'Tab Summary'!P224</f>
        <v>0</v>
      </c>
      <c r="AA71" s="31">
        <f>'Tab Summary'!Y223</f>
        <v>0</v>
      </c>
      <c r="AB71" s="148">
        <f>'Tab Summary'!R224</f>
        <v>0</v>
      </c>
      <c r="AC71" s="20">
        <f>'Tab Summary'!T224</f>
        <v>0</v>
      </c>
      <c r="AD71" s="360">
        <f>'Tab Summary'!Y223</f>
        <v>0</v>
      </c>
      <c r="AE71" s="100"/>
      <c r="AF71" s="95">
        <v>69</v>
      </c>
      <c r="AG71" s="149">
        <f t="shared" si="14"/>
        <v>200</v>
      </c>
      <c r="AH71" s="95">
        <f>MATCH(AG71,'Ballot Entry'!$T$3:$T$72,0)</f>
        <v>19</v>
      </c>
      <c r="AI71" s="57"/>
      <c r="AJ71" s="57"/>
      <c r="AK71" s="57">
        <f>IF(U71&lt;1770,COUNTIF('Tab Summary'!D223:L223,"W")+COUNTIF('Tab Summary'!D223:L223,"T")/2,0)</f>
        <v>0</v>
      </c>
      <c r="AL71" s="57"/>
      <c r="AM71" s="57">
        <f>IF(X71&gt;=4.5,1,0)</f>
        <v>0</v>
      </c>
      <c r="AN71" s="57">
        <f>IF(X71&gt;=LARGE($X$3:$X$42,Bids),1,0)</f>
        <v>0</v>
      </c>
      <c r="AP71" s="57"/>
      <c r="AQ71" s="57"/>
      <c r="AR71" s="57"/>
    </row>
    <row r="72" spans="1:44" ht="15" thickTop="1" x14ac:dyDescent="0.3">
      <c r="A72" s="62" t="str">
        <f>IF(Teams&gt;=48, "1", "Hide")</f>
        <v>Hide</v>
      </c>
      <c r="B72" s="387"/>
      <c r="C72" s="279" t="s">
        <v>220</v>
      </c>
      <c r="D72" s="280"/>
      <c r="E72" s="279" t="s">
        <v>221</v>
      </c>
      <c r="F72" s="76"/>
      <c r="G72" s="69" t="s">
        <v>49</v>
      </c>
      <c r="H72" s="28"/>
      <c r="I72" s="245"/>
      <c r="K72" s="375">
        <v>35</v>
      </c>
      <c r="L72" s="376" t="e">
        <f>MATCH(K72,'Ballot Entry'!$K$3:$K$37,0)</f>
        <v>#N/A</v>
      </c>
      <c r="M72" s="377" t="e">
        <f t="shared" si="9"/>
        <v>#N/A</v>
      </c>
      <c r="N72" s="377" t="e">
        <f t="shared" si="10"/>
        <v>#N/A</v>
      </c>
      <c r="O72" s="377" t="e">
        <f t="shared" si="11"/>
        <v>#N/A</v>
      </c>
      <c r="P72" s="377" t="e">
        <f t="shared" si="12"/>
        <v>#N/A</v>
      </c>
      <c r="Q72" s="378" t="e">
        <f t="shared" si="13"/>
        <v>#N/A</v>
      </c>
      <c r="T72" s="149">
        <f t="shared" si="8"/>
        <v>200</v>
      </c>
      <c r="U72" s="98">
        <f>'Tournament Info'!C84</f>
        <v>0</v>
      </c>
      <c r="V72" s="32" t="s">
        <v>374</v>
      </c>
      <c r="W72" s="402">
        <f>'Tournament Info'!B84</f>
        <v>0</v>
      </c>
      <c r="X72" s="148">
        <f>'Tab Summary'!P225+('Tab Summary'!T225/2)</f>
        <v>0</v>
      </c>
      <c r="Y72" s="31">
        <f>'Tab Summary'!Y225</f>
        <v>0</v>
      </c>
      <c r="Z72" s="148">
        <f>'Tab Summary'!P227</f>
        <v>0</v>
      </c>
      <c r="AA72" s="31">
        <f>'Tab Summary'!Y226</f>
        <v>0</v>
      </c>
      <c r="AB72" s="148">
        <f>'Tab Summary'!R227</f>
        <v>0</v>
      </c>
      <c r="AC72" s="20">
        <f>'Tab Summary'!T227</f>
        <v>0</v>
      </c>
      <c r="AD72" s="360">
        <f>'Tab Summary'!Y226</f>
        <v>0</v>
      </c>
      <c r="AE72" s="100"/>
      <c r="AF72" s="95">
        <v>70</v>
      </c>
      <c r="AG72" s="149">
        <f t="shared" si="14"/>
        <v>200</v>
      </c>
      <c r="AH72" s="95">
        <f>MATCH(AG72,'Ballot Entry'!$T$3:$T$72,0)</f>
        <v>19</v>
      </c>
      <c r="AI72" s="57"/>
      <c r="AJ72" s="57"/>
      <c r="AK72" s="57">
        <f>IF(U72&lt;1770,COUNTIF('Tab Summary'!D226:L226,"W")+COUNTIF('Tab Summary'!D226:L226,"T")/2,0)</f>
        <v>0</v>
      </c>
      <c r="AL72" s="57"/>
      <c r="AM72" s="57">
        <f>IF(X72&gt;=4.5,1,0)</f>
        <v>0</v>
      </c>
      <c r="AN72" s="57">
        <f>IF(X72&gt;=LARGE($X$3:$X$42,Bids),1,0)</f>
        <v>0</v>
      </c>
      <c r="AP72" s="57"/>
      <c r="AQ72" s="57"/>
      <c r="AR72" s="57"/>
    </row>
    <row r="73" spans="1:44" x14ac:dyDescent="0.2">
      <c r="A73" s="63" t="str">
        <f>IF(Teams&gt;=48, "1", "Hide")</f>
        <v>Hide</v>
      </c>
      <c r="B73" s="386"/>
      <c r="G73" s="68" t="s">
        <v>50</v>
      </c>
      <c r="H73" s="29"/>
      <c r="I73" s="246"/>
      <c r="K73" s="370">
        <v>1</v>
      </c>
      <c r="L73" s="371">
        <f>MATCH(K73,'Ballot Entry'!$L$3:$L$37,0)</f>
        <v>1</v>
      </c>
      <c r="M73" s="372">
        <f t="shared" ref="M73:M107" si="17">INDEX(Round1,$L73,4)</f>
        <v>1001</v>
      </c>
      <c r="N73" s="372">
        <f t="shared" ref="N73:N107" si="18">INDEX(Round1,$L73,3)</f>
        <v>1029</v>
      </c>
      <c r="O73" s="372">
        <f t="shared" ref="O73:O107" si="19">INDEX(Round1,$L73,5)*-1</f>
        <v>0</v>
      </c>
      <c r="P73" s="372">
        <f t="shared" ref="P73:P107" si="20">INDEX(Round1,$L73,6)*-1</f>
        <v>4</v>
      </c>
      <c r="Q73" s="373">
        <f t="shared" ref="Q73:Q107" si="21">INDEX(Round1,$L73,7)*-1</f>
        <v>0</v>
      </c>
      <c r="X73" s="148"/>
      <c r="Z73" s="148"/>
      <c r="AB73" s="148"/>
      <c r="AC73" s="20"/>
      <c r="AD73" s="360"/>
      <c r="AL73" s="57"/>
      <c r="AM73" s="57"/>
      <c r="AP73" s="57"/>
      <c r="AQ73" s="57"/>
      <c r="AR73" s="57"/>
    </row>
    <row r="74" spans="1:44" ht="13.5" thickBot="1" x14ac:dyDescent="0.25">
      <c r="A74" s="64" t="str">
        <f>IF(Teams&gt;=48, IF(Ballots = 3, "1", "Hide"), "Hide")</f>
        <v>Hide</v>
      </c>
      <c r="B74" s="388"/>
      <c r="C74" s="281"/>
      <c r="D74" s="282"/>
      <c r="E74" s="282"/>
      <c r="F74" s="77"/>
      <c r="G74" s="70" t="s">
        <v>51</v>
      </c>
      <c r="H74" s="30"/>
      <c r="I74" s="247"/>
      <c r="K74" s="366">
        <v>2</v>
      </c>
      <c r="L74" s="367">
        <f>MATCH(K74,'Ballot Entry'!$L$3:$L$37,0)</f>
        <v>8</v>
      </c>
      <c r="M74" s="368">
        <f t="shared" si="17"/>
        <v>1051</v>
      </c>
      <c r="N74" s="368">
        <f t="shared" si="18"/>
        <v>1489</v>
      </c>
      <c r="O74" s="368">
        <f t="shared" si="19"/>
        <v>-2</v>
      </c>
      <c r="P74" s="368">
        <f t="shared" si="20"/>
        <v>4</v>
      </c>
      <c r="Q74" s="374">
        <f t="shared" si="21"/>
        <v>0</v>
      </c>
      <c r="AD74" s="360"/>
      <c r="AL74" s="57"/>
      <c r="AM74" s="57"/>
      <c r="AP74" s="57"/>
      <c r="AQ74" s="57"/>
      <c r="AR74" s="57"/>
    </row>
    <row r="75" spans="1:44" ht="15" thickTop="1" x14ac:dyDescent="0.3">
      <c r="A75" s="60" t="str">
        <f>IF(Teams&gt;=50, "1", "Hide")</f>
        <v>Hide</v>
      </c>
      <c r="B75" s="384"/>
      <c r="C75" s="276" t="s">
        <v>220</v>
      </c>
      <c r="D75" s="384"/>
      <c r="E75" s="276" t="s">
        <v>221</v>
      </c>
      <c r="F75" s="74"/>
      <c r="G75" s="67" t="s">
        <v>49</v>
      </c>
      <c r="H75" s="25"/>
      <c r="I75" s="242"/>
      <c r="K75" s="366">
        <v>3</v>
      </c>
      <c r="L75" s="367">
        <f>MATCH(K75,'Ballot Entry'!$L$3:$L$37,0)</f>
        <v>2</v>
      </c>
      <c r="M75" s="368">
        <f t="shared" si="17"/>
        <v>1078</v>
      </c>
      <c r="N75" s="368">
        <f t="shared" si="18"/>
        <v>1268</v>
      </c>
      <c r="O75" s="368">
        <f t="shared" si="19"/>
        <v>10</v>
      </c>
      <c r="P75" s="368">
        <f t="shared" si="20"/>
        <v>7</v>
      </c>
      <c r="Q75" s="374">
        <f t="shared" si="21"/>
        <v>0</v>
      </c>
      <c r="Y75" s="57"/>
      <c r="Z75" s="57"/>
      <c r="AA75" s="57"/>
      <c r="AB75" s="57"/>
      <c r="AC75" s="57"/>
      <c r="AD75" s="360"/>
      <c r="AE75" s="57"/>
      <c r="AF75" s="57"/>
      <c r="AG75" s="57"/>
      <c r="AH75" s="57"/>
      <c r="AI75" s="57"/>
      <c r="AJ75" s="57"/>
      <c r="AK75" s="57"/>
      <c r="AL75" s="57"/>
      <c r="AM75" s="57"/>
      <c r="AP75" s="57"/>
      <c r="AQ75" s="57"/>
      <c r="AR75" s="57"/>
    </row>
    <row r="76" spans="1:44" x14ac:dyDescent="0.2">
      <c r="A76" s="61" t="str">
        <f>IF(Teams&gt;=50, "1", "Hide")</f>
        <v>Hide</v>
      </c>
      <c r="G76" s="68" t="s">
        <v>50</v>
      </c>
      <c r="H76" s="26"/>
      <c r="I76" s="243"/>
      <c r="K76" s="366">
        <v>4</v>
      </c>
      <c r="L76" s="367">
        <f>MATCH(K76,'Ballot Entry'!$L$3:$L$37,0)</f>
        <v>7</v>
      </c>
      <c r="M76" s="368">
        <f t="shared" si="17"/>
        <v>1217</v>
      </c>
      <c r="N76" s="368">
        <f t="shared" si="18"/>
        <v>1258</v>
      </c>
      <c r="O76" s="368">
        <f t="shared" si="19"/>
        <v>-6</v>
      </c>
      <c r="P76" s="368">
        <f t="shared" si="20"/>
        <v>-7</v>
      </c>
      <c r="Q76" s="374">
        <f t="shared" si="21"/>
        <v>0</v>
      </c>
      <c r="Y76" s="57"/>
      <c r="Z76" s="57"/>
      <c r="AA76" s="57"/>
      <c r="AB76" s="57"/>
      <c r="AC76" s="57"/>
      <c r="AD76" s="360"/>
      <c r="AE76" s="57"/>
      <c r="AF76" s="57"/>
      <c r="AG76" s="57"/>
      <c r="AH76" s="57"/>
      <c r="AI76" s="57"/>
      <c r="AJ76" s="57"/>
      <c r="AK76" s="57"/>
      <c r="AL76" s="57"/>
      <c r="AM76" s="57"/>
      <c r="AP76" s="57"/>
      <c r="AQ76" s="57"/>
      <c r="AR76" s="57"/>
    </row>
    <row r="77" spans="1:44" ht="13.5" thickBot="1" x14ac:dyDescent="0.25">
      <c r="A77" s="61" t="str">
        <f>IF(Teams&gt;=50, IF(Ballots = 3, "1", "Hide"), "Hide")</f>
        <v>Hide</v>
      </c>
      <c r="B77" s="386"/>
      <c r="C77" s="277"/>
      <c r="D77" s="278"/>
      <c r="E77" s="278"/>
      <c r="F77" s="75"/>
      <c r="G77" s="68" t="s">
        <v>51</v>
      </c>
      <c r="H77" s="27"/>
      <c r="I77" s="244"/>
      <c r="K77" s="366">
        <v>5</v>
      </c>
      <c r="L77" s="367">
        <f>MATCH(K77,'Ballot Entry'!$L$3:$L$37,0)</f>
        <v>3</v>
      </c>
      <c r="M77" s="368">
        <f t="shared" si="17"/>
        <v>1224</v>
      </c>
      <c r="N77" s="368">
        <f t="shared" si="18"/>
        <v>1506</v>
      </c>
      <c r="O77" s="368">
        <f t="shared" si="19"/>
        <v>-14</v>
      </c>
      <c r="P77" s="368">
        <f t="shared" si="20"/>
        <v>-15</v>
      </c>
      <c r="Q77" s="374">
        <f t="shared" si="21"/>
        <v>0</v>
      </c>
      <c r="Y77" s="57"/>
      <c r="Z77" s="57"/>
      <c r="AA77" s="57"/>
      <c r="AB77" s="57"/>
      <c r="AC77" s="57"/>
      <c r="AD77" s="360"/>
      <c r="AE77" s="57"/>
      <c r="AF77" s="57"/>
      <c r="AG77" s="57"/>
      <c r="AH77" s="57"/>
      <c r="AI77" s="57"/>
      <c r="AJ77" s="57"/>
      <c r="AK77" s="57"/>
      <c r="AL77" s="57"/>
      <c r="AM77" s="57"/>
      <c r="AP77" s="57"/>
      <c r="AQ77" s="57"/>
      <c r="AR77" s="57"/>
    </row>
    <row r="78" spans="1:44" ht="15" thickTop="1" x14ac:dyDescent="0.3">
      <c r="A78" s="62" t="str">
        <f>IF(Teams&gt;=52, "1", "Hide")</f>
        <v>Hide</v>
      </c>
      <c r="B78" s="387"/>
      <c r="C78" s="279" t="s">
        <v>220</v>
      </c>
      <c r="D78" s="280"/>
      <c r="E78" s="279" t="s">
        <v>221</v>
      </c>
      <c r="F78" s="76"/>
      <c r="G78" s="69" t="s">
        <v>49</v>
      </c>
      <c r="H78" s="28"/>
      <c r="I78" s="245"/>
      <c r="K78" s="366">
        <v>6</v>
      </c>
      <c r="L78" s="367">
        <f>MATCH(K78,'Ballot Entry'!$L$3:$L$37,0)</f>
        <v>9</v>
      </c>
      <c r="M78" s="368">
        <f t="shared" si="17"/>
        <v>1492</v>
      </c>
      <c r="N78" s="368">
        <f t="shared" si="18"/>
        <v>1577</v>
      </c>
      <c r="O78" s="368">
        <f t="shared" si="19"/>
        <v>-3</v>
      </c>
      <c r="P78" s="368">
        <f t="shared" si="20"/>
        <v>-7</v>
      </c>
      <c r="Q78" s="374">
        <f t="shared" si="21"/>
        <v>0</v>
      </c>
      <c r="Y78" s="57"/>
      <c r="Z78" s="57"/>
      <c r="AA78" s="57"/>
      <c r="AB78" s="57"/>
      <c r="AC78" s="57"/>
      <c r="AD78" s="360"/>
      <c r="AE78" s="57"/>
      <c r="AF78" s="57"/>
      <c r="AG78" s="57"/>
      <c r="AH78" s="57"/>
      <c r="AI78" s="57"/>
      <c r="AJ78" s="57"/>
      <c r="AK78" s="57"/>
      <c r="AL78" s="57"/>
      <c r="AM78" s="57"/>
      <c r="AP78" s="57"/>
      <c r="AQ78" s="57"/>
      <c r="AR78" s="57"/>
    </row>
    <row r="79" spans="1:44" x14ac:dyDescent="0.2">
      <c r="A79" s="63" t="str">
        <f>IF(Teams&gt;=52, "1", "Hide")</f>
        <v>Hide</v>
      </c>
      <c r="B79" s="386"/>
      <c r="G79" s="68" t="s">
        <v>50</v>
      </c>
      <c r="H79" s="29"/>
      <c r="I79" s="246"/>
      <c r="K79" s="366">
        <v>7</v>
      </c>
      <c r="L79" s="367">
        <f>MATCH(K79,'Ballot Entry'!$L$3:$L$37,0)</f>
        <v>5</v>
      </c>
      <c r="M79" s="368">
        <f t="shared" si="17"/>
        <v>1517</v>
      </c>
      <c r="N79" s="368">
        <f t="shared" si="18"/>
        <v>1557</v>
      </c>
      <c r="O79" s="368">
        <f t="shared" si="19"/>
        <v>1</v>
      </c>
      <c r="P79" s="368">
        <f t="shared" si="20"/>
        <v>-5</v>
      </c>
      <c r="Q79" s="374">
        <f t="shared" si="21"/>
        <v>0</v>
      </c>
      <c r="Y79" s="57"/>
      <c r="Z79" s="57"/>
      <c r="AA79" s="57"/>
      <c r="AB79" s="57"/>
      <c r="AC79" s="57"/>
      <c r="AD79" s="360"/>
      <c r="AE79" s="57"/>
      <c r="AF79" s="57"/>
      <c r="AG79" s="57"/>
      <c r="AH79" s="57"/>
      <c r="AI79" s="57"/>
      <c r="AJ79" s="57"/>
      <c r="AK79" s="57"/>
      <c r="AL79" s="57"/>
      <c r="AM79" s="57"/>
      <c r="AP79" s="57"/>
      <c r="AQ79" s="57"/>
      <c r="AR79" s="57"/>
    </row>
    <row r="80" spans="1:44" ht="13.5" thickBot="1" x14ac:dyDescent="0.25">
      <c r="A80" s="64" t="str">
        <f>IF(Teams&gt;=52, IF(Ballots = 3, "1", "Hide"), "Hide")</f>
        <v>Hide</v>
      </c>
      <c r="B80" s="388"/>
      <c r="C80" s="281"/>
      <c r="D80" s="282"/>
      <c r="E80" s="282"/>
      <c r="F80" s="77"/>
      <c r="G80" s="70" t="s">
        <v>51</v>
      </c>
      <c r="H80" s="30"/>
      <c r="I80" s="247"/>
      <c r="K80" s="366">
        <v>8</v>
      </c>
      <c r="L80" s="367">
        <f>MATCH(K80,'Ballot Entry'!$L$3:$L$37,0)</f>
        <v>4</v>
      </c>
      <c r="M80" s="368">
        <f t="shared" si="17"/>
        <v>1616</v>
      </c>
      <c r="N80" s="368">
        <f t="shared" si="18"/>
        <v>1410</v>
      </c>
      <c r="O80" s="368">
        <f t="shared" si="19"/>
        <v>3</v>
      </c>
      <c r="P80" s="368">
        <f t="shared" si="20"/>
        <v>4</v>
      </c>
      <c r="Q80" s="374">
        <f t="shared" si="21"/>
        <v>0</v>
      </c>
      <c r="Y80" s="57"/>
      <c r="Z80" s="57"/>
      <c r="AA80" s="57"/>
      <c r="AB80" s="57"/>
      <c r="AC80" s="57"/>
      <c r="AD80" s="360"/>
      <c r="AE80" s="57"/>
      <c r="AF80" s="57"/>
      <c r="AG80" s="57"/>
      <c r="AH80" s="57"/>
      <c r="AI80" s="57"/>
      <c r="AJ80" s="57"/>
      <c r="AK80" s="57"/>
      <c r="AL80" s="57"/>
      <c r="AM80" s="57"/>
      <c r="AP80" s="57"/>
      <c r="AQ80" s="57"/>
      <c r="AR80" s="57"/>
    </row>
    <row r="81" spans="1:44" ht="15" thickTop="1" x14ac:dyDescent="0.3">
      <c r="A81" s="60" t="str">
        <f>IF(Teams&gt;=54, "1", "Hide")</f>
        <v>Hide</v>
      </c>
      <c r="B81" s="384"/>
      <c r="C81" s="276" t="s">
        <v>220</v>
      </c>
      <c r="D81" s="384"/>
      <c r="E81" s="276" t="s">
        <v>221</v>
      </c>
      <c r="F81" s="74"/>
      <c r="G81" s="67" t="s">
        <v>49</v>
      </c>
      <c r="H81" s="25"/>
      <c r="I81" s="242"/>
      <c r="K81" s="366">
        <v>9</v>
      </c>
      <c r="L81" s="367">
        <f>MATCH(K81,'Ballot Entry'!$L$3:$L$37,0)</f>
        <v>6</v>
      </c>
      <c r="M81" s="368">
        <f t="shared" si="17"/>
        <v>1693</v>
      </c>
      <c r="N81" s="368">
        <f t="shared" si="18"/>
        <v>1262</v>
      </c>
      <c r="O81" s="368">
        <f t="shared" si="19"/>
        <v>-2</v>
      </c>
      <c r="P81" s="368">
        <f t="shared" si="20"/>
        <v>-13</v>
      </c>
      <c r="Q81" s="374">
        <f t="shared" si="21"/>
        <v>0</v>
      </c>
      <c r="Y81" s="57"/>
      <c r="Z81" s="57"/>
      <c r="AA81" s="57"/>
      <c r="AB81" s="57"/>
      <c r="AC81" s="57"/>
      <c r="AD81" s="360"/>
      <c r="AE81" s="57"/>
      <c r="AF81" s="57"/>
      <c r="AG81" s="57"/>
      <c r="AH81" s="57"/>
      <c r="AI81" s="57"/>
      <c r="AJ81" s="57"/>
      <c r="AK81" s="57"/>
      <c r="AL81" s="57"/>
      <c r="AM81" s="57"/>
      <c r="AP81" s="57"/>
      <c r="AQ81" s="57"/>
      <c r="AR81" s="57"/>
    </row>
    <row r="82" spans="1:44" x14ac:dyDescent="0.2">
      <c r="A82" s="61" t="str">
        <f>IF(Teams&gt;=54, "1", "Hide")</f>
        <v>Hide</v>
      </c>
      <c r="G82" s="68" t="s">
        <v>50</v>
      </c>
      <c r="H82" s="26"/>
      <c r="I82" s="243"/>
      <c r="K82" s="366">
        <v>10</v>
      </c>
      <c r="L82" s="367">
        <f>MATCH(K82,'Ballot Entry'!$L$3:$L$37,0)</f>
        <v>10</v>
      </c>
      <c r="M82" s="368">
        <f t="shared" si="17"/>
        <v>9999</v>
      </c>
      <c r="N82" s="368">
        <f t="shared" si="18"/>
        <v>9999</v>
      </c>
      <c r="O82" s="368">
        <f t="shared" si="19"/>
        <v>0</v>
      </c>
      <c r="P82" s="368">
        <f t="shared" si="20"/>
        <v>0</v>
      </c>
      <c r="Q82" s="374">
        <f t="shared" si="21"/>
        <v>0</v>
      </c>
      <c r="Y82" s="57"/>
      <c r="Z82" s="57"/>
      <c r="AA82" s="57"/>
      <c r="AB82" s="57"/>
      <c r="AC82" s="57"/>
      <c r="AD82" s="360"/>
      <c r="AE82" s="57"/>
      <c r="AF82" s="57"/>
      <c r="AG82" s="57"/>
      <c r="AH82" s="57"/>
      <c r="AI82" s="57"/>
      <c r="AJ82" s="57"/>
      <c r="AK82" s="57"/>
      <c r="AL82" s="57"/>
      <c r="AM82" s="57"/>
      <c r="AP82" s="57"/>
      <c r="AQ82" s="57"/>
      <c r="AR82" s="57"/>
    </row>
    <row r="83" spans="1:44" ht="13.5" thickBot="1" x14ac:dyDescent="0.25">
      <c r="A83" s="61" t="str">
        <f>IF(Teams&gt;=54, IF(Ballots = 3, "1", "Hide"), "Hide")</f>
        <v>Hide</v>
      </c>
      <c r="B83" s="386"/>
      <c r="C83" s="277"/>
      <c r="D83" s="278"/>
      <c r="E83" s="278"/>
      <c r="F83" s="75"/>
      <c r="G83" s="68" t="s">
        <v>51</v>
      </c>
      <c r="H83" s="27"/>
      <c r="I83" s="244"/>
      <c r="K83" s="366">
        <v>11</v>
      </c>
      <c r="L83" s="367" t="e">
        <f>MATCH(K83,'Ballot Entry'!$L$3:$L$37,0)</f>
        <v>#N/A</v>
      </c>
      <c r="M83" s="368" t="e">
        <f t="shared" si="17"/>
        <v>#N/A</v>
      </c>
      <c r="N83" s="368" t="e">
        <f t="shared" si="18"/>
        <v>#N/A</v>
      </c>
      <c r="O83" s="368" t="e">
        <f t="shared" si="19"/>
        <v>#N/A</v>
      </c>
      <c r="P83" s="368" t="e">
        <f t="shared" si="20"/>
        <v>#N/A</v>
      </c>
      <c r="Q83" s="374" t="e">
        <f t="shared" si="21"/>
        <v>#N/A</v>
      </c>
      <c r="Y83" s="57"/>
      <c r="Z83" s="57"/>
      <c r="AA83" s="57"/>
      <c r="AB83" s="57"/>
      <c r="AC83" s="57"/>
      <c r="AD83" s="360"/>
      <c r="AE83" s="57"/>
      <c r="AF83" s="57"/>
      <c r="AG83" s="57"/>
      <c r="AH83" s="57"/>
      <c r="AI83" s="57"/>
      <c r="AJ83" s="57"/>
      <c r="AK83" s="57"/>
      <c r="AL83" s="57"/>
      <c r="AM83" s="57"/>
      <c r="AP83" s="57"/>
      <c r="AQ83" s="57"/>
      <c r="AR83" s="57"/>
    </row>
    <row r="84" spans="1:44" ht="15" thickTop="1" x14ac:dyDescent="0.3">
      <c r="A84" s="62" t="str">
        <f>IF(Teams&gt;=56, "1", "Hide")</f>
        <v>Hide</v>
      </c>
      <c r="B84" s="387"/>
      <c r="C84" s="279" t="s">
        <v>220</v>
      </c>
      <c r="D84" s="280"/>
      <c r="E84" s="279" t="s">
        <v>221</v>
      </c>
      <c r="F84" s="76"/>
      <c r="G84" s="69" t="s">
        <v>49</v>
      </c>
      <c r="H84" s="28"/>
      <c r="I84" s="245"/>
      <c r="K84" s="366">
        <v>12</v>
      </c>
      <c r="L84" s="367" t="e">
        <f>MATCH(K84,'Ballot Entry'!$L$3:$L$37,0)</f>
        <v>#N/A</v>
      </c>
      <c r="M84" s="368" t="e">
        <f t="shared" si="17"/>
        <v>#N/A</v>
      </c>
      <c r="N84" s="368" t="e">
        <f t="shared" si="18"/>
        <v>#N/A</v>
      </c>
      <c r="O84" s="368" t="e">
        <f t="shared" si="19"/>
        <v>#N/A</v>
      </c>
      <c r="P84" s="368" t="e">
        <f t="shared" si="20"/>
        <v>#N/A</v>
      </c>
      <c r="Q84" s="374" t="e">
        <f t="shared" si="21"/>
        <v>#N/A</v>
      </c>
      <c r="Y84" s="57"/>
      <c r="Z84" s="57"/>
      <c r="AA84" s="57"/>
      <c r="AB84" s="57"/>
      <c r="AC84" s="57"/>
      <c r="AD84" s="360"/>
      <c r="AE84" s="57"/>
      <c r="AF84" s="57"/>
      <c r="AG84" s="57"/>
      <c r="AH84" s="57"/>
      <c r="AI84" s="57"/>
      <c r="AJ84" s="57"/>
      <c r="AK84" s="57"/>
      <c r="AL84" s="57"/>
      <c r="AM84" s="57"/>
      <c r="AP84" s="57"/>
      <c r="AQ84" s="57"/>
      <c r="AR84" s="57"/>
    </row>
    <row r="85" spans="1:44" x14ac:dyDescent="0.2">
      <c r="A85" s="63" t="str">
        <f>IF(Teams&gt;=56, "1", "Hide")</f>
        <v>Hide</v>
      </c>
      <c r="B85" s="386"/>
      <c r="G85" s="68" t="s">
        <v>50</v>
      </c>
      <c r="H85" s="29"/>
      <c r="I85" s="246"/>
      <c r="K85" s="366">
        <v>13</v>
      </c>
      <c r="L85" s="367" t="e">
        <f>MATCH(K85,'Ballot Entry'!$L$3:$L$37,0)</f>
        <v>#N/A</v>
      </c>
      <c r="M85" s="368" t="e">
        <f t="shared" si="17"/>
        <v>#N/A</v>
      </c>
      <c r="N85" s="368" t="e">
        <f t="shared" si="18"/>
        <v>#N/A</v>
      </c>
      <c r="O85" s="368" t="e">
        <f t="shared" si="19"/>
        <v>#N/A</v>
      </c>
      <c r="P85" s="368" t="e">
        <f t="shared" si="20"/>
        <v>#N/A</v>
      </c>
      <c r="Q85" s="374" t="e">
        <f t="shared" si="21"/>
        <v>#N/A</v>
      </c>
      <c r="Y85" s="57"/>
      <c r="Z85" s="57"/>
      <c r="AA85" s="57"/>
      <c r="AB85" s="57"/>
      <c r="AC85" s="57"/>
      <c r="AD85" s="360"/>
      <c r="AE85" s="57"/>
      <c r="AF85" s="57"/>
      <c r="AG85" s="57"/>
      <c r="AH85" s="57"/>
      <c r="AI85" s="57"/>
      <c r="AJ85" s="57"/>
      <c r="AK85" s="57"/>
      <c r="AL85" s="57"/>
      <c r="AM85" s="57"/>
      <c r="AP85" s="57"/>
      <c r="AQ85" s="57"/>
      <c r="AR85" s="57"/>
    </row>
    <row r="86" spans="1:44" ht="13.5" thickBot="1" x14ac:dyDescent="0.25">
      <c r="A86" s="64" t="str">
        <f>IF(Teams&gt;=56, IF(Ballots = 3, "1", "Hide"), "Hide")</f>
        <v>Hide</v>
      </c>
      <c r="B86" s="388"/>
      <c r="C86" s="281"/>
      <c r="D86" s="282"/>
      <c r="E86" s="282"/>
      <c r="F86" s="77"/>
      <c r="G86" s="70" t="s">
        <v>51</v>
      </c>
      <c r="H86" s="30"/>
      <c r="I86" s="247"/>
      <c r="K86" s="366">
        <v>14</v>
      </c>
      <c r="L86" s="367" t="e">
        <f>MATCH(K86,'Ballot Entry'!$L$3:$L$37,0)</f>
        <v>#N/A</v>
      </c>
      <c r="M86" s="368" t="e">
        <f t="shared" si="17"/>
        <v>#N/A</v>
      </c>
      <c r="N86" s="368" t="e">
        <f t="shared" si="18"/>
        <v>#N/A</v>
      </c>
      <c r="O86" s="368" t="e">
        <f t="shared" si="19"/>
        <v>#N/A</v>
      </c>
      <c r="P86" s="368" t="e">
        <f t="shared" si="20"/>
        <v>#N/A</v>
      </c>
      <c r="Q86" s="374" t="e">
        <f t="shared" si="21"/>
        <v>#N/A</v>
      </c>
      <c r="Y86" s="57"/>
      <c r="Z86" s="57"/>
      <c r="AA86" s="57"/>
      <c r="AB86" s="57"/>
      <c r="AC86" s="57"/>
      <c r="AD86" s="360"/>
      <c r="AE86" s="57"/>
      <c r="AF86" s="57"/>
      <c r="AG86" s="57"/>
      <c r="AH86" s="57"/>
      <c r="AI86" s="57"/>
      <c r="AJ86" s="57"/>
      <c r="AK86" s="57"/>
      <c r="AL86" s="57"/>
      <c r="AM86" s="57"/>
      <c r="AP86" s="57"/>
      <c r="AQ86" s="57"/>
      <c r="AR86" s="57"/>
    </row>
    <row r="87" spans="1:44" ht="15" thickTop="1" x14ac:dyDescent="0.3">
      <c r="A87" s="60" t="str">
        <f>IF(Teams&gt;=58, "1", "Hide")</f>
        <v>Hide</v>
      </c>
      <c r="B87" s="384"/>
      <c r="C87" s="276" t="s">
        <v>220</v>
      </c>
      <c r="D87" s="384"/>
      <c r="E87" s="276" t="s">
        <v>221</v>
      </c>
      <c r="F87" s="74"/>
      <c r="G87" s="67" t="s">
        <v>49</v>
      </c>
      <c r="H87" s="25"/>
      <c r="I87" s="242"/>
      <c r="K87" s="366">
        <v>15</v>
      </c>
      <c r="L87" s="367" t="e">
        <f>MATCH(K87,'Ballot Entry'!$L$3:$L$37,0)</f>
        <v>#N/A</v>
      </c>
      <c r="M87" s="368" t="e">
        <f t="shared" si="17"/>
        <v>#N/A</v>
      </c>
      <c r="N87" s="368" t="e">
        <f t="shared" si="18"/>
        <v>#N/A</v>
      </c>
      <c r="O87" s="368" t="e">
        <f t="shared" si="19"/>
        <v>#N/A</v>
      </c>
      <c r="P87" s="368" t="e">
        <f t="shared" si="20"/>
        <v>#N/A</v>
      </c>
      <c r="Q87" s="374" t="e">
        <f t="shared" si="21"/>
        <v>#N/A</v>
      </c>
      <c r="Y87" s="57"/>
      <c r="Z87" s="57"/>
      <c r="AA87" s="57"/>
      <c r="AB87" s="57"/>
      <c r="AC87" s="57"/>
      <c r="AD87" s="360"/>
      <c r="AE87" s="57"/>
      <c r="AF87" s="57"/>
      <c r="AG87" s="57"/>
      <c r="AH87" s="57"/>
      <c r="AI87" s="57"/>
      <c r="AJ87" s="57"/>
      <c r="AK87" s="57"/>
      <c r="AL87" s="57"/>
      <c r="AM87" s="57"/>
      <c r="AP87" s="57"/>
      <c r="AQ87" s="57"/>
      <c r="AR87" s="57"/>
    </row>
    <row r="88" spans="1:44" x14ac:dyDescent="0.2">
      <c r="A88" s="61" t="str">
        <f>IF(Teams&gt;=58, "1", "Hide")</f>
        <v>Hide</v>
      </c>
      <c r="G88" s="68" t="s">
        <v>50</v>
      </c>
      <c r="H88" s="26"/>
      <c r="I88" s="243"/>
      <c r="K88" s="366">
        <v>16</v>
      </c>
      <c r="L88" s="367" t="e">
        <f>MATCH(K88,'Ballot Entry'!$L$3:$L$37,0)</f>
        <v>#N/A</v>
      </c>
      <c r="M88" s="368" t="e">
        <f t="shared" si="17"/>
        <v>#N/A</v>
      </c>
      <c r="N88" s="368" t="e">
        <f t="shared" si="18"/>
        <v>#N/A</v>
      </c>
      <c r="O88" s="368" t="e">
        <f t="shared" si="19"/>
        <v>#N/A</v>
      </c>
      <c r="P88" s="368" t="e">
        <f t="shared" si="20"/>
        <v>#N/A</v>
      </c>
      <c r="Q88" s="374" t="e">
        <f t="shared" si="21"/>
        <v>#N/A</v>
      </c>
      <c r="Y88" s="57"/>
      <c r="Z88" s="57"/>
      <c r="AA88" s="57"/>
      <c r="AB88" s="57"/>
      <c r="AC88" s="57"/>
      <c r="AE88" s="57"/>
      <c r="AF88" s="57"/>
      <c r="AG88" s="57"/>
      <c r="AH88" s="57"/>
      <c r="AI88" s="57"/>
      <c r="AJ88" s="57"/>
      <c r="AK88" s="57"/>
      <c r="AL88" s="57"/>
      <c r="AM88" s="57"/>
      <c r="AP88" s="57"/>
      <c r="AQ88" s="57"/>
      <c r="AR88" s="57"/>
    </row>
    <row r="89" spans="1:44" ht="13.5" thickBot="1" x14ac:dyDescent="0.25">
      <c r="A89" s="61" t="str">
        <f>IF(Teams&gt;=58, IF(Ballots = 3, "1", "Hide"), "Hide")</f>
        <v>Hide</v>
      </c>
      <c r="B89" s="386"/>
      <c r="C89" s="277"/>
      <c r="D89" s="278"/>
      <c r="E89" s="278"/>
      <c r="F89" s="75"/>
      <c r="G89" s="68" t="s">
        <v>51</v>
      </c>
      <c r="H89" s="27"/>
      <c r="I89" s="244"/>
      <c r="K89" s="366">
        <v>17</v>
      </c>
      <c r="L89" s="367" t="e">
        <f>MATCH(K89,'Ballot Entry'!$L$3:$L$37,0)</f>
        <v>#N/A</v>
      </c>
      <c r="M89" s="368" t="e">
        <f t="shared" si="17"/>
        <v>#N/A</v>
      </c>
      <c r="N89" s="368" t="e">
        <f t="shared" si="18"/>
        <v>#N/A</v>
      </c>
      <c r="O89" s="368" t="e">
        <f t="shared" si="19"/>
        <v>#N/A</v>
      </c>
      <c r="P89" s="368" t="e">
        <f t="shared" si="20"/>
        <v>#N/A</v>
      </c>
      <c r="Q89" s="374" t="e">
        <f t="shared" si="21"/>
        <v>#N/A</v>
      </c>
      <c r="Y89" s="57"/>
      <c r="Z89" s="57"/>
      <c r="AA89" s="57"/>
      <c r="AB89" s="57"/>
      <c r="AC89" s="57"/>
      <c r="AE89" s="57"/>
      <c r="AF89" s="57"/>
      <c r="AG89" s="57"/>
      <c r="AH89" s="57"/>
      <c r="AI89" s="57"/>
      <c r="AJ89" s="57"/>
      <c r="AK89" s="57"/>
      <c r="AL89" s="57"/>
      <c r="AM89" s="57"/>
      <c r="AP89" s="57"/>
      <c r="AQ89" s="57"/>
      <c r="AR89" s="57"/>
    </row>
    <row r="90" spans="1:44" ht="15" thickTop="1" x14ac:dyDescent="0.3">
      <c r="A90" s="62" t="str">
        <f>IF(Teams&gt;=60, "1", "Hide")</f>
        <v>Hide</v>
      </c>
      <c r="B90" s="387"/>
      <c r="C90" s="279" t="s">
        <v>220</v>
      </c>
      <c r="D90" s="280"/>
      <c r="E90" s="279" t="s">
        <v>221</v>
      </c>
      <c r="F90" s="76"/>
      <c r="G90" s="69" t="s">
        <v>49</v>
      </c>
      <c r="H90" s="28"/>
      <c r="I90" s="245"/>
      <c r="K90" s="366">
        <v>18</v>
      </c>
      <c r="L90" s="367" t="e">
        <f>MATCH(K90,'Ballot Entry'!$L$3:$L$37,0)</f>
        <v>#N/A</v>
      </c>
      <c r="M90" s="368" t="e">
        <f t="shared" si="17"/>
        <v>#N/A</v>
      </c>
      <c r="N90" s="368" t="e">
        <f t="shared" si="18"/>
        <v>#N/A</v>
      </c>
      <c r="O90" s="368" t="e">
        <f t="shared" si="19"/>
        <v>#N/A</v>
      </c>
      <c r="P90" s="368" t="e">
        <f t="shared" si="20"/>
        <v>#N/A</v>
      </c>
      <c r="Q90" s="374" t="e">
        <f t="shared" si="21"/>
        <v>#N/A</v>
      </c>
      <c r="Y90" s="57"/>
      <c r="Z90" s="57"/>
      <c r="AA90" s="57"/>
      <c r="AB90" s="57"/>
      <c r="AC90" s="57"/>
      <c r="AE90" s="57"/>
      <c r="AF90" s="57"/>
      <c r="AG90" s="57"/>
      <c r="AH90" s="57"/>
      <c r="AI90" s="57"/>
      <c r="AJ90" s="57"/>
      <c r="AK90" s="57"/>
      <c r="AL90" s="57"/>
      <c r="AM90" s="57"/>
      <c r="AP90" s="57"/>
      <c r="AQ90" s="57"/>
      <c r="AR90" s="57"/>
    </row>
    <row r="91" spans="1:44" x14ac:dyDescent="0.2">
      <c r="A91" s="63" t="str">
        <f>IF(Teams&gt;=60, "1", "Hide")</f>
        <v>Hide</v>
      </c>
      <c r="B91" s="386"/>
      <c r="G91" s="68" t="s">
        <v>50</v>
      </c>
      <c r="H91" s="29"/>
      <c r="I91" s="246"/>
      <c r="K91" s="366">
        <v>19</v>
      </c>
      <c r="L91" s="367" t="e">
        <f>MATCH(K91,'Ballot Entry'!$L$3:$L$37,0)</f>
        <v>#N/A</v>
      </c>
      <c r="M91" s="368" t="e">
        <f t="shared" si="17"/>
        <v>#N/A</v>
      </c>
      <c r="N91" s="368" t="e">
        <f t="shared" si="18"/>
        <v>#N/A</v>
      </c>
      <c r="O91" s="368" t="e">
        <f t="shared" si="19"/>
        <v>#N/A</v>
      </c>
      <c r="P91" s="368" t="e">
        <f t="shared" si="20"/>
        <v>#N/A</v>
      </c>
      <c r="Q91" s="374" t="e">
        <f t="shared" si="21"/>
        <v>#N/A</v>
      </c>
      <c r="Y91" s="57"/>
      <c r="Z91" s="57"/>
      <c r="AA91" s="57"/>
      <c r="AB91" s="57"/>
      <c r="AC91" s="57"/>
      <c r="AE91" s="57"/>
      <c r="AF91" s="57"/>
      <c r="AG91" s="57"/>
      <c r="AH91" s="57"/>
      <c r="AI91" s="57"/>
      <c r="AJ91" s="57"/>
      <c r="AK91" s="57"/>
      <c r="AL91" s="57"/>
      <c r="AM91" s="57"/>
      <c r="AP91" s="57"/>
      <c r="AQ91" s="57"/>
      <c r="AR91" s="57"/>
    </row>
    <row r="92" spans="1:44" ht="13.5" thickBot="1" x14ac:dyDescent="0.25">
      <c r="A92" s="64" t="str">
        <f>IF(Teams&gt;=60, IF(Ballots = 3, "1", "Hide"), "Hide")</f>
        <v>Hide</v>
      </c>
      <c r="B92" s="388"/>
      <c r="C92" s="281"/>
      <c r="D92" s="282"/>
      <c r="E92" s="282"/>
      <c r="F92" s="77"/>
      <c r="G92" s="70" t="s">
        <v>51</v>
      </c>
      <c r="H92" s="30"/>
      <c r="I92" s="247"/>
      <c r="K92" s="366">
        <v>20</v>
      </c>
      <c r="L92" s="367" t="e">
        <f>MATCH(K92,'Ballot Entry'!$L$3:$L$37,0)</f>
        <v>#N/A</v>
      </c>
      <c r="M92" s="368" t="e">
        <f t="shared" si="17"/>
        <v>#N/A</v>
      </c>
      <c r="N92" s="368" t="e">
        <f t="shared" si="18"/>
        <v>#N/A</v>
      </c>
      <c r="O92" s="368" t="e">
        <f t="shared" si="19"/>
        <v>#N/A</v>
      </c>
      <c r="P92" s="368" t="e">
        <f t="shared" si="20"/>
        <v>#N/A</v>
      </c>
      <c r="Q92" s="374" t="e">
        <f t="shared" si="21"/>
        <v>#N/A</v>
      </c>
      <c r="Y92" s="57"/>
      <c r="Z92" s="57"/>
      <c r="AA92" s="57"/>
      <c r="AB92" s="57"/>
      <c r="AC92" s="57"/>
      <c r="AE92" s="57"/>
      <c r="AF92" s="57"/>
      <c r="AG92" s="57"/>
      <c r="AH92" s="57"/>
      <c r="AI92" s="57"/>
      <c r="AJ92" s="57"/>
      <c r="AK92" s="57"/>
      <c r="AL92" s="57"/>
      <c r="AM92" s="57"/>
      <c r="AP92" s="57"/>
      <c r="AQ92" s="57"/>
      <c r="AR92" s="57"/>
    </row>
    <row r="93" spans="1:44" ht="15" thickTop="1" x14ac:dyDescent="0.3">
      <c r="A93" s="60" t="str">
        <f>IF(Teams&gt;=62, "1", "Hide")</f>
        <v>Hide</v>
      </c>
      <c r="B93" s="384"/>
      <c r="C93" s="276" t="s">
        <v>220</v>
      </c>
      <c r="D93" s="384"/>
      <c r="E93" s="276" t="s">
        <v>221</v>
      </c>
      <c r="F93" s="74"/>
      <c r="G93" s="67" t="s">
        <v>49</v>
      </c>
      <c r="H93" s="25"/>
      <c r="I93" s="242"/>
      <c r="K93" s="366">
        <v>21</v>
      </c>
      <c r="L93" s="367" t="e">
        <f>MATCH(K93,'Ballot Entry'!$L$3:$L$37,0)</f>
        <v>#N/A</v>
      </c>
      <c r="M93" s="368" t="e">
        <f t="shared" si="17"/>
        <v>#N/A</v>
      </c>
      <c r="N93" s="368" t="e">
        <f t="shared" si="18"/>
        <v>#N/A</v>
      </c>
      <c r="O93" s="368" t="e">
        <f t="shared" si="19"/>
        <v>#N/A</v>
      </c>
      <c r="P93" s="368" t="e">
        <f t="shared" si="20"/>
        <v>#N/A</v>
      </c>
      <c r="Q93" s="374" t="e">
        <f t="shared" si="21"/>
        <v>#N/A</v>
      </c>
      <c r="Y93" s="57"/>
      <c r="Z93" s="57"/>
      <c r="AA93" s="57"/>
      <c r="AB93" s="57"/>
      <c r="AC93" s="57"/>
      <c r="AE93" s="57"/>
      <c r="AF93" s="57"/>
      <c r="AG93" s="57"/>
      <c r="AH93" s="57"/>
      <c r="AI93" s="57"/>
      <c r="AJ93" s="57"/>
      <c r="AK93" s="57"/>
      <c r="AL93" s="57"/>
      <c r="AM93" s="57"/>
      <c r="AP93" s="57"/>
      <c r="AQ93" s="57"/>
      <c r="AR93" s="57"/>
    </row>
    <row r="94" spans="1:44" x14ac:dyDescent="0.2">
      <c r="A94" s="61" t="str">
        <f>IF(Teams&gt;=62, "1", "Hide")</f>
        <v>Hide</v>
      </c>
      <c r="G94" s="68" t="s">
        <v>50</v>
      </c>
      <c r="H94" s="26"/>
      <c r="I94" s="243"/>
      <c r="K94" s="366">
        <v>22</v>
      </c>
      <c r="L94" s="367" t="e">
        <f>MATCH(K94,'Ballot Entry'!$L$3:$L$37,0)</f>
        <v>#N/A</v>
      </c>
      <c r="M94" s="368" t="e">
        <f t="shared" si="17"/>
        <v>#N/A</v>
      </c>
      <c r="N94" s="368" t="e">
        <f t="shared" si="18"/>
        <v>#N/A</v>
      </c>
      <c r="O94" s="368" t="e">
        <f t="shared" si="19"/>
        <v>#N/A</v>
      </c>
      <c r="P94" s="368" t="e">
        <f t="shared" si="20"/>
        <v>#N/A</v>
      </c>
      <c r="Q94" s="374" t="e">
        <f t="shared" si="21"/>
        <v>#N/A</v>
      </c>
      <c r="Y94" s="57"/>
      <c r="Z94" s="57"/>
      <c r="AA94" s="57"/>
      <c r="AB94" s="57"/>
      <c r="AC94" s="57"/>
      <c r="AE94" s="57"/>
      <c r="AF94" s="57"/>
      <c r="AG94" s="57"/>
      <c r="AH94" s="57"/>
      <c r="AI94" s="57"/>
      <c r="AJ94" s="57"/>
      <c r="AK94" s="57"/>
      <c r="AL94" s="57"/>
      <c r="AM94" s="57"/>
      <c r="AP94" s="57"/>
      <c r="AQ94" s="57"/>
      <c r="AR94" s="57"/>
    </row>
    <row r="95" spans="1:44" ht="13.5" thickBot="1" x14ac:dyDescent="0.25">
      <c r="A95" s="61" t="str">
        <f>IF(Teams&gt;=62, IF(Ballots = 3, "1", "Hide"), "Hide")</f>
        <v>Hide</v>
      </c>
      <c r="B95" s="386"/>
      <c r="C95" s="277"/>
      <c r="D95" s="278"/>
      <c r="E95" s="278"/>
      <c r="F95" s="75"/>
      <c r="G95" s="68" t="s">
        <v>51</v>
      </c>
      <c r="H95" s="27"/>
      <c r="I95" s="244"/>
      <c r="K95" s="366">
        <v>23</v>
      </c>
      <c r="L95" s="367" t="e">
        <f>MATCH(K95,'Ballot Entry'!$L$3:$L$37,0)</f>
        <v>#N/A</v>
      </c>
      <c r="M95" s="368" t="e">
        <f t="shared" si="17"/>
        <v>#N/A</v>
      </c>
      <c r="N95" s="368" t="e">
        <f t="shared" si="18"/>
        <v>#N/A</v>
      </c>
      <c r="O95" s="368" t="e">
        <f t="shared" si="19"/>
        <v>#N/A</v>
      </c>
      <c r="P95" s="368" t="e">
        <f t="shared" si="20"/>
        <v>#N/A</v>
      </c>
      <c r="Q95" s="374" t="e">
        <f t="shared" si="21"/>
        <v>#N/A</v>
      </c>
      <c r="Y95" s="57"/>
      <c r="Z95" s="57"/>
      <c r="AA95" s="57"/>
      <c r="AB95" s="57"/>
      <c r="AC95" s="57"/>
      <c r="AE95" s="57"/>
      <c r="AF95" s="57"/>
      <c r="AG95" s="57"/>
      <c r="AH95" s="57"/>
      <c r="AI95" s="57"/>
      <c r="AJ95" s="57"/>
      <c r="AK95" s="57"/>
      <c r="AL95" s="57"/>
      <c r="AM95" s="57"/>
      <c r="AP95" s="57"/>
      <c r="AQ95" s="57"/>
      <c r="AR95" s="57"/>
    </row>
    <row r="96" spans="1:44" ht="15" thickTop="1" x14ac:dyDescent="0.3">
      <c r="A96" s="62" t="str">
        <f>IF(Teams&gt;=64, "1", "Hide")</f>
        <v>Hide</v>
      </c>
      <c r="B96" s="387"/>
      <c r="C96" s="279" t="s">
        <v>220</v>
      </c>
      <c r="D96" s="280"/>
      <c r="E96" s="279" t="s">
        <v>221</v>
      </c>
      <c r="F96" s="76"/>
      <c r="G96" s="69" t="s">
        <v>49</v>
      </c>
      <c r="H96" s="28"/>
      <c r="I96" s="245"/>
      <c r="K96" s="366">
        <v>24</v>
      </c>
      <c r="L96" s="367" t="e">
        <f>MATCH(K96,'Ballot Entry'!$L$3:$L$37,0)</f>
        <v>#N/A</v>
      </c>
      <c r="M96" s="368" t="e">
        <f t="shared" si="17"/>
        <v>#N/A</v>
      </c>
      <c r="N96" s="368" t="e">
        <f t="shared" si="18"/>
        <v>#N/A</v>
      </c>
      <c r="O96" s="368" t="e">
        <f t="shared" si="19"/>
        <v>#N/A</v>
      </c>
      <c r="P96" s="368" t="e">
        <f t="shared" si="20"/>
        <v>#N/A</v>
      </c>
      <c r="Q96" s="374" t="e">
        <f t="shared" si="21"/>
        <v>#N/A</v>
      </c>
      <c r="Y96" s="57"/>
      <c r="Z96" s="57"/>
      <c r="AA96" s="57"/>
      <c r="AB96" s="57"/>
      <c r="AC96" s="57"/>
      <c r="AE96" s="57"/>
      <c r="AF96" s="57"/>
      <c r="AG96" s="57"/>
      <c r="AH96" s="57"/>
      <c r="AI96" s="57"/>
      <c r="AJ96" s="57"/>
      <c r="AK96" s="57"/>
      <c r="AL96" s="57"/>
      <c r="AM96" s="57"/>
      <c r="AP96" s="57"/>
      <c r="AQ96" s="57"/>
      <c r="AR96" s="57"/>
    </row>
    <row r="97" spans="1:44" x14ac:dyDescent="0.2">
      <c r="A97" s="63" t="str">
        <f>IF(Teams&gt;=64, "1", "Hide")</f>
        <v>Hide</v>
      </c>
      <c r="B97" s="386"/>
      <c r="G97" s="68" t="s">
        <v>50</v>
      </c>
      <c r="H97" s="29"/>
      <c r="I97" s="246"/>
      <c r="K97" s="366">
        <v>25</v>
      </c>
      <c r="L97" s="367" t="e">
        <f>MATCH(K97,'Ballot Entry'!$L$3:$L$37,0)</f>
        <v>#N/A</v>
      </c>
      <c r="M97" s="368" t="e">
        <f t="shared" si="17"/>
        <v>#N/A</v>
      </c>
      <c r="N97" s="368" t="e">
        <f t="shared" si="18"/>
        <v>#N/A</v>
      </c>
      <c r="O97" s="368" t="e">
        <f t="shared" si="19"/>
        <v>#N/A</v>
      </c>
      <c r="P97" s="368" t="e">
        <f t="shared" si="20"/>
        <v>#N/A</v>
      </c>
      <c r="Q97" s="374" t="e">
        <f t="shared" si="21"/>
        <v>#N/A</v>
      </c>
      <c r="Y97" s="57"/>
      <c r="Z97" s="57"/>
      <c r="AA97" s="57"/>
      <c r="AB97" s="57"/>
      <c r="AC97" s="57"/>
      <c r="AE97" s="57"/>
      <c r="AF97" s="57"/>
      <c r="AG97" s="57"/>
      <c r="AH97" s="57"/>
      <c r="AI97" s="57"/>
      <c r="AJ97" s="57"/>
      <c r="AK97" s="57"/>
      <c r="AL97" s="57"/>
      <c r="AM97" s="57"/>
      <c r="AP97" s="57"/>
      <c r="AQ97" s="57"/>
      <c r="AR97" s="57"/>
    </row>
    <row r="98" spans="1:44" ht="13.5" thickBot="1" x14ac:dyDescent="0.25">
      <c r="A98" s="64" t="str">
        <f>IF(Teams&gt;=64, IF(Ballots = 3, "1", "Hide"), "Hide")</f>
        <v>Hide</v>
      </c>
      <c r="B98" s="388"/>
      <c r="C98" s="281"/>
      <c r="D98" s="282"/>
      <c r="E98" s="282"/>
      <c r="F98" s="77"/>
      <c r="G98" s="70" t="s">
        <v>51</v>
      </c>
      <c r="H98" s="30"/>
      <c r="I98" s="247"/>
      <c r="K98" s="366">
        <v>26</v>
      </c>
      <c r="L98" s="367" t="e">
        <f>MATCH(K98,'Ballot Entry'!$L$3:$L$37,0)</f>
        <v>#N/A</v>
      </c>
      <c r="M98" s="368" t="e">
        <f t="shared" si="17"/>
        <v>#N/A</v>
      </c>
      <c r="N98" s="368" t="e">
        <f t="shared" si="18"/>
        <v>#N/A</v>
      </c>
      <c r="O98" s="368" t="e">
        <f t="shared" si="19"/>
        <v>#N/A</v>
      </c>
      <c r="P98" s="368" t="e">
        <f t="shared" si="20"/>
        <v>#N/A</v>
      </c>
      <c r="Q98" s="374" t="e">
        <f t="shared" si="21"/>
        <v>#N/A</v>
      </c>
      <c r="Y98" s="57"/>
      <c r="Z98" s="57"/>
      <c r="AA98" s="57"/>
      <c r="AB98" s="57"/>
      <c r="AC98" s="57"/>
      <c r="AE98" s="57"/>
      <c r="AF98" s="57"/>
      <c r="AG98" s="57"/>
      <c r="AH98" s="57"/>
      <c r="AI98" s="57"/>
      <c r="AJ98" s="57"/>
      <c r="AK98" s="57"/>
      <c r="AL98" s="57"/>
      <c r="AM98" s="57"/>
      <c r="AP98" s="57"/>
      <c r="AQ98" s="57"/>
      <c r="AR98" s="57"/>
    </row>
    <row r="99" spans="1:44" ht="15" thickTop="1" x14ac:dyDescent="0.3">
      <c r="A99" s="60" t="str">
        <f>IF(Teams&gt;=66, "1", "Hide")</f>
        <v>Hide</v>
      </c>
      <c r="B99" s="384"/>
      <c r="C99" s="276" t="s">
        <v>220</v>
      </c>
      <c r="D99" s="384"/>
      <c r="E99" s="276" t="s">
        <v>221</v>
      </c>
      <c r="F99" s="74"/>
      <c r="G99" s="67" t="s">
        <v>49</v>
      </c>
      <c r="H99" s="25"/>
      <c r="I99" s="242"/>
      <c r="K99" s="366">
        <v>27</v>
      </c>
      <c r="L99" s="367" t="e">
        <f>MATCH(K99,'Ballot Entry'!$L$3:$L$37,0)</f>
        <v>#N/A</v>
      </c>
      <c r="M99" s="368" t="e">
        <f t="shared" si="17"/>
        <v>#N/A</v>
      </c>
      <c r="N99" s="368" t="e">
        <f t="shared" si="18"/>
        <v>#N/A</v>
      </c>
      <c r="O99" s="368" t="e">
        <f t="shared" si="19"/>
        <v>#N/A</v>
      </c>
      <c r="P99" s="368" t="e">
        <f t="shared" si="20"/>
        <v>#N/A</v>
      </c>
      <c r="Q99" s="374" t="e">
        <f t="shared" si="21"/>
        <v>#N/A</v>
      </c>
      <c r="Y99" s="57"/>
      <c r="Z99" s="57"/>
      <c r="AA99" s="57"/>
      <c r="AB99" s="57"/>
      <c r="AC99" s="57"/>
      <c r="AE99" s="57"/>
      <c r="AF99" s="57"/>
      <c r="AG99" s="57"/>
      <c r="AH99" s="57"/>
      <c r="AI99" s="57"/>
      <c r="AJ99" s="57"/>
      <c r="AK99" s="57"/>
      <c r="AL99" s="57"/>
      <c r="AM99" s="57"/>
      <c r="AP99" s="57"/>
      <c r="AQ99" s="57"/>
      <c r="AR99" s="57"/>
    </row>
    <row r="100" spans="1:44" x14ac:dyDescent="0.2">
      <c r="A100" s="61" t="str">
        <f>IF(Teams&gt;=66, "1", "Hide")</f>
        <v>Hide</v>
      </c>
      <c r="G100" s="68" t="s">
        <v>50</v>
      </c>
      <c r="H100" s="26"/>
      <c r="I100" s="243"/>
      <c r="K100" s="366">
        <v>28</v>
      </c>
      <c r="L100" s="367" t="e">
        <f>MATCH(K100,'Ballot Entry'!$L$3:$L$37,0)</f>
        <v>#N/A</v>
      </c>
      <c r="M100" s="368" t="e">
        <f t="shared" si="17"/>
        <v>#N/A</v>
      </c>
      <c r="N100" s="368" t="e">
        <f t="shared" si="18"/>
        <v>#N/A</v>
      </c>
      <c r="O100" s="368" t="e">
        <f t="shared" si="19"/>
        <v>#N/A</v>
      </c>
      <c r="P100" s="368" t="e">
        <f t="shared" si="20"/>
        <v>#N/A</v>
      </c>
      <c r="Q100" s="374" t="e">
        <f t="shared" si="21"/>
        <v>#N/A</v>
      </c>
      <c r="Y100" s="57"/>
      <c r="Z100" s="57"/>
      <c r="AA100" s="57"/>
      <c r="AB100" s="57"/>
      <c r="AC100" s="57"/>
      <c r="AE100" s="57"/>
      <c r="AF100" s="57"/>
      <c r="AG100" s="57"/>
      <c r="AH100" s="57"/>
      <c r="AI100" s="57"/>
      <c r="AJ100" s="57"/>
      <c r="AK100" s="57"/>
      <c r="AL100" s="57"/>
      <c r="AM100" s="57"/>
      <c r="AP100" s="57"/>
      <c r="AQ100" s="57"/>
      <c r="AR100" s="57"/>
    </row>
    <row r="101" spans="1:44" ht="13.5" thickBot="1" x14ac:dyDescent="0.25">
      <c r="A101" s="61" t="str">
        <f>IF(Teams&gt;=66, IF(Ballots = 3, "1", "Hide"), "Hide")</f>
        <v>Hide</v>
      </c>
      <c r="B101" s="386"/>
      <c r="C101" s="277"/>
      <c r="D101" s="278"/>
      <c r="E101" s="278"/>
      <c r="F101" s="75"/>
      <c r="G101" s="68" t="s">
        <v>51</v>
      </c>
      <c r="H101" s="27"/>
      <c r="I101" s="244"/>
      <c r="K101" s="366">
        <v>29</v>
      </c>
      <c r="L101" s="367" t="e">
        <f>MATCH(K101,'Ballot Entry'!$L$3:$L$37,0)</f>
        <v>#N/A</v>
      </c>
      <c r="M101" s="368" t="e">
        <f t="shared" si="17"/>
        <v>#N/A</v>
      </c>
      <c r="N101" s="368" t="e">
        <f t="shared" si="18"/>
        <v>#N/A</v>
      </c>
      <c r="O101" s="368" t="e">
        <f t="shared" si="19"/>
        <v>#N/A</v>
      </c>
      <c r="P101" s="368" t="e">
        <f t="shared" si="20"/>
        <v>#N/A</v>
      </c>
      <c r="Q101" s="374" t="e">
        <f t="shared" si="21"/>
        <v>#N/A</v>
      </c>
      <c r="Y101" s="57"/>
      <c r="Z101" s="57"/>
      <c r="AA101" s="57"/>
      <c r="AB101" s="57"/>
      <c r="AC101" s="57"/>
      <c r="AE101" s="57"/>
      <c r="AF101" s="57"/>
      <c r="AG101" s="57"/>
      <c r="AH101" s="57"/>
      <c r="AI101" s="57"/>
      <c r="AJ101" s="57"/>
      <c r="AK101" s="57"/>
      <c r="AL101" s="57"/>
      <c r="AM101" s="57"/>
      <c r="AP101" s="57"/>
      <c r="AQ101" s="57"/>
      <c r="AR101" s="57"/>
    </row>
    <row r="102" spans="1:44" ht="15" thickTop="1" x14ac:dyDescent="0.3">
      <c r="A102" s="62" t="str">
        <f>IF(Teams&gt;=68, "1", "Hide")</f>
        <v>Hide</v>
      </c>
      <c r="B102" s="387"/>
      <c r="C102" s="279" t="s">
        <v>220</v>
      </c>
      <c r="D102" s="280"/>
      <c r="E102" s="279" t="s">
        <v>221</v>
      </c>
      <c r="F102" s="76"/>
      <c r="G102" s="69" t="s">
        <v>49</v>
      </c>
      <c r="H102" s="28"/>
      <c r="I102" s="245"/>
      <c r="K102" s="366">
        <v>30</v>
      </c>
      <c r="L102" s="367" t="e">
        <f>MATCH(K102,'Ballot Entry'!$L$3:$L$37,0)</f>
        <v>#N/A</v>
      </c>
      <c r="M102" s="368" t="e">
        <f t="shared" si="17"/>
        <v>#N/A</v>
      </c>
      <c r="N102" s="368" t="e">
        <f t="shared" si="18"/>
        <v>#N/A</v>
      </c>
      <c r="O102" s="368" t="e">
        <f t="shared" si="19"/>
        <v>#N/A</v>
      </c>
      <c r="P102" s="368" t="e">
        <f t="shared" si="20"/>
        <v>#N/A</v>
      </c>
      <c r="Q102" s="374" t="e">
        <f t="shared" si="21"/>
        <v>#N/A</v>
      </c>
      <c r="Y102" s="57"/>
      <c r="Z102" s="57"/>
      <c r="AA102" s="57"/>
      <c r="AB102" s="57"/>
      <c r="AC102" s="57"/>
      <c r="AE102" s="57"/>
      <c r="AF102" s="57"/>
      <c r="AG102" s="57"/>
      <c r="AH102" s="57"/>
      <c r="AI102" s="57"/>
      <c r="AJ102" s="57"/>
      <c r="AK102" s="57"/>
      <c r="AL102" s="57"/>
      <c r="AM102" s="57"/>
      <c r="AP102" s="57"/>
      <c r="AQ102" s="57"/>
      <c r="AR102" s="57"/>
    </row>
    <row r="103" spans="1:44" x14ac:dyDescent="0.2">
      <c r="A103" s="63" t="str">
        <f>IF(Teams&gt;=68, "1", "Hide")</f>
        <v>Hide</v>
      </c>
      <c r="B103" s="386"/>
      <c r="G103" s="68" t="s">
        <v>50</v>
      </c>
      <c r="H103" s="29"/>
      <c r="I103" s="246"/>
      <c r="K103" s="366">
        <v>31</v>
      </c>
      <c r="L103" s="367" t="e">
        <f>MATCH(K103,'Ballot Entry'!$L$3:$L$37,0)</f>
        <v>#N/A</v>
      </c>
      <c r="M103" s="368" t="e">
        <f t="shared" si="17"/>
        <v>#N/A</v>
      </c>
      <c r="N103" s="368" t="e">
        <f t="shared" si="18"/>
        <v>#N/A</v>
      </c>
      <c r="O103" s="368" t="e">
        <f t="shared" si="19"/>
        <v>#N/A</v>
      </c>
      <c r="P103" s="368" t="e">
        <f t="shared" si="20"/>
        <v>#N/A</v>
      </c>
      <c r="Q103" s="374" t="e">
        <f t="shared" si="21"/>
        <v>#N/A</v>
      </c>
      <c r="Y103" s="57"/>
      <c r="Z103" s="57"/>
      <c r="AA103" s="57"/>
      <c r="AB103" s="57"/>
      <c r="AC103" s="57"/>
      <c r="AE103" s="57"/>
      <c r="AF103" s="57"/>
      <c r="AG103" s="57"/>
      <c r="AH103" s="57"/>
      <c r="AI103" s="57"/>
      <c r="AJ103" s="57"/>
      <c r="AK103" s="57"/>
      <c r="AL103" s="57"/>
      <c r="AM103" s="57"/>
      <c r="AP103" s="57"/>
      <c r="AQ103" s="57"/>
      <c r="AR103" s="57"/>
    </row>
    <row r="104" spans="1:44" ht="13.5" thickBot="1" x14ac:dyDescent="0.25">
      <c r="A104" s="64" t="str">
        <f>IF(Teams&gt;=68, IF(Ballots = 3, "1", "Hide"), "Hide")</f>
        <v>Hide</v>
      </c>
      <c r="B104" s="388"/>
      <c r="C104" s="281"/>
      <c r="D104" s="282"/>
      <c r="E104" s="282"/>
      <c r="F104" s="77"/>
      <c r="G104" s="70" t="s">
        <v>51</v>
      </c>
      <c r="H104" s="30"/>
      <c r="I104" s="247"/>
      <c r="K104" s="366">
        <v>32</v>
      </c>
      <c r="L104" s="367" t="e">
        <f>MATCH(K104,'Ballot Entry'!$L$3:$L$37,0)</f>
        <v>#N/A</v>
      </c>
      <c r="M104" s="368" t="e">
        <f t="shared" si="17"/>
        <v>#N/A</v>
      </c>
      <c r="N104" s="368" t="e">
        <f t="shared" si="18"/>
        <v>#N/A</v>
      </c>
      <c r="O104" s="368" t="e">
        <f t="shared" si="19"/>
        <v>#N/A</v>
      </c>
      <c r="P104" s="368" t="e">
        <f t="shared" si="20"/>
        <v>#N/A</v>
      </c>
      <c r="Q104" s="374" t="e">
        <f t="shared" si="21"/>
        <v>#N/A</v>
      </c>
      <c r="Y104" s="57"/>
      <c r="Z104" s="57"/>
      <c r="AA104" s="57"/>
      <c r="AB104" s="57"/>
      <c r="AC104" s="57"/>
      <c r="AE104" s="57"/>
      <c r="AF104" s="57"/>
      <c r="AG104" s="57"/>
      <c r="AH104" s="57"/>
      <c r="AI104" s="57"/>
      <c r="AJ104" s="57"/>
      <c r="AK104" s="57"/>
      <c r="AL104" s="57"/>
      <c r="AM104" s="57"/>
      <c r="AP104" s="57"/>
      <c r="AQ104" s="57"/>
      <c r="AR104" s="57"/>
    </row>
    <row r="105" spans="1:44" ht="15" thickTop="1" x14ac:dyDescent="0.3">
      <c r="A105" s="60" t="str">
        <f>IF(Teams&gt;=70, "1", "Hide")</f>
        <v>Hide</v>
      </c>
      <c r="B105" s="384"/>
      <c r="C105" s="276" t="s">
        <v>220</v>
      </c>
      <c r="D105" s="384"/>
      <c r="E105" s="276" t="s">
        <v>221</v>
      </c>
      <c r="F105" s="74"/>
      <c r="G105" s="67" t="s">
        <v>49</v>
      </c>
      <c r="H105" s="25"/>
      <c r="I105" s="242"/>
      <c r="K105" s="366">
        <v>33</v>
      </c>
      <c r="L105" s="367" t="e">
        <f>MATCH(K105,'Ballot Entry'!$L$3:$L$37,0)</f>
        <v>#N/A</v>
      </c>
      <c r="M105" s="368" t="e">
        <f t="shared" si="17"/>
        <v>#N/A</v>
      </c>
      <c r="N105" s="368" t="e">
        <f t="shared" si="18"/>
        <v>#N/A</v>
      </c>
      <c r="O105" s="368" t="e">
        <f t="shared" si="19"/>
        <v>#N/A</v>
      </c>
      <c r="P105" s="368" t="e">
        <f t="shared" si="20"/>
        <v>#N/A</v>
      </c>
      <c r="Q105" s="374" t="e">
        <f t="shared" si="21"/>
        <v>#N/A</v>
      </c>
      <c r="Y105" s="57"/>
      <c r="Z105" s="57"/>
      <c r="AA105" s="57"/>
      <c r="AB105" s="57"/>
      <c r="AC105" s="57"/>
      <c r="AE105" s="57"/>
      <c r="AF105" s="57"/>
      <c r="AG105" s="57"/>
      <c r="AH105" s="57"/>
      <c r="AI105" s="57"/>
      <c r="AJ105" s="57"/>
      <c r="AK105" s="57"/>
      <c r="AL105" s="57"/>
      <c r="AM105" s="57"/>
      <c r="AP105" s="57"/>
      <c r="AQ105" s="57"/>
      <c r="AR105" s="57"/>
    </row>
    <row r="106" spans="1:44" x14ac:dyDescent="0.2">
      <c r="A106" s="61" t="str">
        <f>IF(Teams&gt;=70, "1", "Hide")</f>
        <v>Hide</v>
      </c>
      <c r="G106" s="68" t="s">
        <v>50</v>
      </c>
      <c r="H106" s="26"/>
      <c r="I106" s="243"/>
      <c r="K106" s="366">
        <v>34</v>
      </c>
      <c r="L106" s="367" t="e">
        <f>MATCH(K106,'Ballot Entry'!$L$3:$L$37,0)</f>
        <v>#N/A</v>
      </c>
      <c r="M106" s="368" t="e">
        <f t="shared" si="17"/>
        <v>#N/A</v>
      </c>
      <c r="N106" s="368" t="e">
        <f t="shared" si="18"/>
        <v>#N/A</v>
      </c>
      <c r="O106" s="368" t="e">
        <f t="shared" si="19"/>
        <v>#N/A</v>
      </c>
      <c r="P106" s="368" t="e">
        <f t="shared" si="20"/>
        <v>#N/A</v>
      </c>
      <c r="Q106" s="374" t="e">
        <f t="shared" si="21"/>
        <v>#N/A</v>
      </c>
      <c r="Y106" s="57"/>
      <c r="Z106" s="57"/>
      <c r="AA106" s="57"/>
      <c r="AB106" s="57"/>
      <c r="AC106" s="57"/>
      <c r="AE106" s="57"/>
      <c r="AF106" s="57"/>
      <c r="AG106" s="57"/>
      <c r="AH106" s="57"/>
      <c r="AI106" s="57"/>
      <c r="AJ106" s="57"/>
      <c r="AK106" s="57"/>
      <c r="AL106" s="57"/>
      <c r="AM106" s="57"/>
      <c r="AP106" s="57"/>
      <c r="AQ106" s="57"/>
      <c r="AR106" s="57"/>
    </row>
    <row r="107" spans="1:44" ht="13.5" thickBot="1" x14ac:dyDescent="0.25">
      <c r="A107" s="61" t="str">
        <f>IF(Teams&gt;=70, IF(Ballots = 3, "1", "Hide"), "Hide")</f>
        <v>Hide</v>
      </c>
      <c r="B107" s="386"/>
      <c r="C107" s="277"/>
      <c r="D107" s="278"/>
      <c r="E107" s="278"/>
      <c r="F107" s="75"/>
      <c r="G107" s="68" t="s">
        <v>51</v>
      </c>
      <c r="H107" s="27"/>
      <c r="I107" s="244"/>
      <c r="K107" s="375">
        <v>35</v>
      </c>
      <c r="L107" s="376" t="e">
        <f>MATCH(K107,'Ballot Entry'!$L$3:$L$37,0)</f>
        <v>#N/A</v>
      </c>
      <c r="M107" s="377" t="e">
        <f t="shared" si="17"/>
        <v>#N/A</v>
      </c>
      <c r="N107" s="377" t="e">
        <f t="shared" si="18"/>
        <v>#N/A</v>
      </c>
      <c r="O107" s="377" t="e">
        <f t="shared" si="19"/>
        <v>#N/A</v>
      </c>
      <c r="P107" s="377" t="e">
        <f t="shared" si="20"/>
        <v>#N/A</v>
      </c>
      <c r="Q107" s="378" t="e">
        <f t="shared" si="21"/>
        <v>#N/A</v>
      </c>
      <c r="R107" s="57"/>
      <c r="S107" s="57"/>
      <c r="T107" s="57"/>
      <c r="U107" s="57"/>
      <c r="V107" s="57"/>
      <c r="W107" s="57"/>
      <c r="X107" s="57"/>
      <c r="Y107" s="57"/>
      <c r="Z107" s="57"/>
      <c r="AA107" s="57"/>
      <c r="AB107" s="57"/>
      <c r="AC107" s="57"/>
      <c r="AE107" s="57"/>
      <c r="AF107" s="57"/>
      <c r="AG107" s="57"/>
      <c r="AH107" s="57"/>
      <c r="AI107" s="57"/>
      <c r="AJ107" s="57"/>
      <c r="AK107" s="57"/>
      <c r="AL107" s="57"/>
      <c r="AM107" s="57"/>
      <c r="AP107" s="57"/>
      <c r="AQ107" s="57"/>
      <c r="AR107" s="57"/>
    </row>
    <row r="108" spans="1:44" s="80" customFormat="1" ht="14.25" thickTop="1" thickBot="1" x14ac:dyDescent="0.25">
      <c r="A108" s="65" t="s">
        <v>61</v>
      </c>
      <c r="B108" s="389"/>
      <c r="C108" s="283"/>
      <c r="D108" s="385"/>
      <c r="E108" s="284"/>
      <c r="F108" s="78"/>
      <c r="G108" s="65"/>
      <c r="H108" s="79"/>
      <c r="I108" s="248"/>
      <c r="K108" s="379"/>
      <c r="L108" s="379"/>
      <c r="M108" s="379"/>
      <c r="N108" s="379"/>
      <c r="O108" s="379"/>
      <c r="P108" s="379"/>
      <c r="Q108" s="379"/>
      <c r="R108" s="57"/>
      <c r="S108" s="57"/>
      <c r="T108" s="57"/>
      <c r="U108" s="57"/>
      <c r="V108" s="57"/>
      <c r="W108" s="57"/>
      <c r="X108" s="57"/>
      <c r="Y108" s="57"/>
      <c r="Z108" s="57"/>
      <c r="AA108" s="57"/>
      <c r="AB108" s="57"/>
      <c r="AC108" s="57"/>
      <c r="AE108" s="57"/>
      <c r="AF108" s="57"/>
      <c r="AG108" s="57"/>
      <c r="AH108" s="57"/>
      <c r="AI108" s="57"/>
      <c r="AJ108" s="57"/>
      <c r="AK108" s="57"/>
      <c r="AL108" s="57"/>
      <c r="AM108" s="57"/>
      <c r="AP108" s="57"/>
      <c r="AQ108" s="57"/>
      <c r="AR108" s="57"/>
    </row>
    <row r="109" spans="1:44" ht="15" thickTop="1" x14ac:dyDescent="0.3">
      <c r="A109" s="60" t="str">
        <f>IF(Teams&gt;=2, "2", "Hide")</f>
        <v>2</v>
      </c>
      <c r="B109" s="384">
        <f>B3</f>
        <v>501</v>
      </c>
      <c r="C109" s="276" t="s">
        <v>220</v>
      </c>
      <c r="D109" s="384">
        <v>1517</v>
      </c>
      <c r="E109" s="276" t="s">
        <v>221</v>
      </c>
      <c r="F109" s="74">
        <v>1489</v>
      </c>
      <c r="G109" s="67" t="s">
        <v>49</v>
      </c>
      <c r="H109" s="25" t="s">
        <v>33</v>
      </c>
      <c r="I109" s="242">
        <v>3</v>
      </c>
      <c r="K109" s="370">
        <f>RANK(M109,$M$109:$M$143,1)</f>
        <v>7</v>
      </c>
      <c r="L109" s="371">
        <f>RANK(N109,$N$109:$N$143,1)</f>
        <v>6</v>
      </c>
      <c r="M109" s="372">
        <f>IF(ISBLANK('Ballot Entry'!D109),9999,'Ballot Entry'!D109)</f>
        <v>1517</v>
      </c>
      <c r="N109" s="372">
        <f>IF(ISBLANK('Ballot Entry'!F109),9999,'Ballot Entry'!F109)</f>
        <v>1489</v>
      </c>
      <c r="O109" s="371">
        <f>IF('Ballot Entry'!H109="p",'Ballot Entry'!I109,'Ballot Entry'!I109*-1)</f>
        <v>3</v>
      </c>
      <c r="P109" s="371">
        <f>IF('Ballot Entry'!H110="p",'Ballot Entry'!I110,'Ballot Entry'!I110*-1)</f>
        <v>4</v>
      </c>
      <c r="Q109" s="380">
        <f>IF('Ballot Entry'!H111="p",'Ballot Entry'!I111,'Ballot Entry'!I111*-1)</f>
        <v>0</v>
      </c>
      <c r="R109" s="57"/>
      <c r="S109" s="57"/>
      <c r="T109" s="57"/>
      <c r="U109" s="57"/>
      <c r="V109" s="57"/>
      <c r="W109" s="57"/>
      <c r="X109" s="57"/>
      <c r="Y109" s="57"/>
      <c r="Z109" s="57"/>
      <c r="AA109" s="57"/>
      <c r="AB109" s="57"/>
      <c r="AC109" s="57"/>
      <c r="AE109" s="57"/>
      <c r="AF109" s="57"/>
      <c r="AG109" s="57"/>
      <c r="AH109" s="57"/>
      <c r="AI109" s="57"/>
      <c r="AJ109" s="57"/>
      <c r="AK109" s="57"/>
      <c r="AL109" s="57"/>
      <c r="AM109" s="57"/>
      <c r="AP109" s="57"/>
      <c r="AQ109" s="57"/>
      <c r="AR109" s="57"/>
    </row>
    <row r="110" spans="1:44" x14ac:dyDescent="0.2">
      <c r="A110" s="61" t="str">
        <f>IF(Teams&gt;=2, "2", "Hide")</f>
        <v>2</v>
      </c>
      <c r="G110" s="68" t="s">
        <v>50</v>
      </c>
      <c r="H110" s="26" t="s">
        <v>33</v>
      </c>
      <c r="I110" s="243">
        <v>4</v>
      </c>
      <c r="K110" s="366">
        <f t="shared" ref="K110:K143" si="22">RANK(M110,$M$109:$M$143,1)</f>
        <v>9</v>
      </c>
      <c r="L110" s="367">
        <f t="shared" ref="L110:L143" si="23">RANK(N110,$N$109:$N$143,1)</f>
        <v>5</v>
      </c>
      <c r="M110" s="368">
        <f>IF(ISBLANK('Ballot Entry'!D112),9999,'Ballot Entry'!D112)</f>
        <v>1693</v>
      </c>
      <c r="N110" s="368">
        <f>IF(ISBLANK('Ballot Entry'!F112),9999,'Ballot Entry'!F112)</f>
        <v>1410</v>
      </c>
      <c r="O110" s="367">
        <f>IF('Ballot Entry'!H112="p",'Ballot Entry'!I112,'Ballot Entry'!I112*-1)</f>
        <v>1</v>
      </c>
      <c r="P110" s="367">
        <f>IF('Ballot Entry'!H113="p",'Ballot Entry'!I113,'Ballot Entry'!I113*-1)</f>
        <v>8</v>
      </c>
      <c r="Q110" s="369">
        <f>IF('Ballot Entry'!H114="p",'Ballot Entry'!I114,'Ballot Entry'!I114*-1)</f>
        <v>0</v>
      </c>
      <c r="R110" s="57"/>
      <c r="S110" s="57"/>
      <c r="T110" s="57"/>
      <c r="U110" s="57"/>
      <c r="V110" s="57"/>
      <c r="W110" s="57"/>
      <c r="X110" s="57"/>
      <c r="Y110" s="57"/>
      <c r="Z110" s="57"/>
      <c r="AA110" s="57"/>
      <c r="AB110" s="57"/>
      <c r="AC110" s="57"/>
      <c r="AE110" s="57"/>
      <c r="AF110" s="57"/>
      <c r="AG110" s="57"/>
      <c r="AH110" s="57"/>
      <c r="AI110" s="57"/>
      <c r="AJ110" s="57"/>
      <c r="AK110" s="57"/>
      <c r="AL110" s="57"/>
      <c r="AM110" s="57"/>
      <c r="AP110" s="57"/>
      <c r="AQ110" s="57"/>
      <c r="AR110" s="57"/>
    </row>
    <row r="111" spans="1:44" ht="13.5" thickBot="1" x14ac:dyDescent="0.25">
      <c r="A111" s="61" t="str">
        <f>IF(Teams&gt;=2, IF(Ballots = 3, "2", "Hide"), "Hide")</f>
        <v>Hide</v>
      </c>
      <c r="B111" s="386"/>
      <c r="C111" s="277"/>
      <c r="D111" s="278"/>
      <c r="E111" s="278"/>
      <c r="F111" s="75"/>
      <c r="G111" s="68" t="s">
        <v>51</v>
      </c>
      <c r="H111" s="27"/>
      <c r="I111" s="244"/>
      <c r="K111" s="366">
        <f t="shared" si="22"/>
        <v>1</v>
      </c>
      <c r="L111" s="367">
        <f t="shared" si="23"/>
        <v>2</v>
      </c>
      <c r="M111" s="368">
        <f>IF(ISBLANK('Ballot Entry'!D115),9999,'Ballot Entry'!D115)</f>
        <v>1001</v>
      </c>
      <c r="N111" s="368">
        <f>IF(ISBLANK('Ballot Entry'!F115),9999,'Ballot Entry'!F115)</f>
        <v>1258</v>
      </c>
      <c r="O111" s="367">
        <f>IF('Ballot Entry'!H115="p",'Ballot Entry'!I115,'Ballot Entry'!I115*-1)</f>
        <v>2</v>
      </c>
      <c r="P111" s="367">
        <f>IF('Ballot Entry'!H116="p",'Ballot Entry'!I116,'Ballot Entry'!I116*-1)</f>
        <v>12</v>
      </c>
      <c r="Q111" s="369">
        <f>IF('Ballot Entry'!H117="p",'Ballot Entry'!I117,'Ballot Entry'!I117*-1)</f>
        <v>0</v>
      </c>
      <c r="R111" s="57"/>
      <c r="S111" s="57"/>
      <c r="T111" s="57"/>
      <c r="U111" s="57"/>
      <c r="V111" s="57"/>
      <c r="W111" s="57"/>
      <c r="X111" s="57"/>
      <c r="Y111" s="57"/>
      <c r="Z111" s="57"/>
      <c r="AA111" s="57"/>
      <c r="AB111" s="57"/>
      <c r="AC111" s="57"/>
      <c r="AE111" s="57"/>
      <c r="AF111" s="57"/>
      <c r="AG111" s="57"/>
      <c r="AH111" s="57"/>
      <c r="AI111" s="57"/>
      <c r="AJ111" s="57"/>
      <c r="AK111" s="57"/>
      <c r="AL111" s="57"/>
      <c r="AM111" s="57"/>
      <c r="AP111" s="57"/>
      <c r="AQ111" s="57"/>
      <c r="AR111" s="57"/>
    </row>
    <row r="112" spans="1:44" ht="15" thickTop="1" x14ac:dyDescent="0.3">
      <c r="A112" s="62" t="str">
        <f>IF(Teams&gt;=4, "2", "Hide")</f>
        <v>2</v>
      </c>
      <c r="B112" s="387">
        <f>B6</f>
        <v>502</v>
      </c>
      <c r="C112" s="279" t="s">
        <v>220</v>
      </c>
      <c r="D112" s="280">
        <v>1693</v>
      </c>
      <c r="E112" s="279" t="s">
        <v>221</v>
      </c>
      <c r="F112" s="76">
        <v>1410</v>
      </c>
      <c r="G112" s="69" t="s">
        <v>49</v>
      </c>
      <c r="H112" s="28" t="s">
        <v>33</v>
      </c>
      <c r="I112" s="245">
        <v>1</v>
      </c>
      <c r="K112" s="366">
        <f t="shared" si="22"/>
        <v>6</v>
      </c>
      <c r="L112" s="367">
        <f t="shared" si="23"/>
        <v>8</v>
      </c>
      <c r="M112" s="368">
        <f>IF(ISBLANK('Ballot Entry'!D118),9999,'Ballot Entry'!D118)</f>
        <v>1492</v>
      </c>
      <c r="N112" s="368">
        <f>IF(ISBLANK('Ballot Entry'!F118),9999,'Ballot Entry'!F118)</f>
        <v>1557</v>
      </c>
      <c r="O112" s="367">
        <f>IF('Ballot Entry'!H118="p",'Ballot Entry'!I118,'Ballot Entry'!I118*-1)</f>
        <v>-11</v>
      </c>
      <c r="P112" s="367">
        <f>IF('Ballot Entry'!H119="p",'Ballot Entry'!I119,'Ballot Entry'!I119*-1)</f>
        <v>3</v>
      </c>
      <c r="Q112" s="369">
        <f>IF('Ballot Entry'!H120="p",'Ballot Entry'!I120,'Ballot Entry'!I120*-1)</f>
        <v>0</v>
      </c>
      <c r="R112" s="57"/>
      <c r="S112" s="57"/>
      <c r="T112" s="57"/>
      <c r="U112" s="57"/>
      <c r="V112" s="57"/>
      <c r="W112" s="57"/>
      <c r="X112" s="57"/>
      <c r="Y112" s="57"/>
      <c r="Z112" s="57"/>
      <c r="AA112" s="57"/>
      <c r="AB112" s="57"/>
      <c r="AC112" s="57"/>
      <c r="AE112" s="57"/>
      <c r="AF112" s="57"/>
      <c r="AG112" s="57"/>
      <c r="AH112" s="57"/>
      <c r="AI112" s="57"/>
      <c r="AJ112" s="57"/>
      <c r="AK112" s="57"/>
      <c r="AL112" s="57"/>
      <c r="AM112" s="57"/>
      <c r="AP112" s="57"/>
      <c r="AQ112" s="57"/>
      <c r="AR112" s="57"/>
    </row>
    <row r="113" spans="1:44" x14ac:dyDescent="0.2">
      <c r="A113" s="63" t="str">
        <f>IF(Teams&gt;=4, "2", "Hide")</f>
        <v>2</v>
      </c>
      <c r="B113" s="386"/>
      <c r="G113" s="68" t="s">
        <v>50</v>
      </c>
      <c r="H113" s="29" t="s">
        <v>33</v>
      </c>
      <c r="I113" s="246">
        <v>8</v>
      </c>
      <c r="K113" s="366">
        <f t="shared" si="22"/>
        <v>5</v>
      </c>
      <c r="L113" s="367">
        <f t="shared" si="23"/>
        <v>4</v>
      </c>
      <c r="M113" s="368">
        <f>IF(ISBLANK('Ballot Entry'!D121),9999,'Ballot Entry'!D121)</f>
        <v>1224</v>
      </c>
      <c r="N113" s="368">
        <f>IF(ISBLANK('Ballot Entry'!F121),9999,'Ballot Entry'!F121)</f>
        <v>1268</v>
      </c>
      <c r="O113" s="367">
        <f>IF('Ballot Entry'!H121="p",'Ballot Entry'!I121,'Ballot Entry'!I121*-1)</f>
        <v>4</v>
      </c>
      <c r="P113" s="367">
        <f>IF('Ballot Entry'!H122="p",'Ballot Entry'!I122,'Ballot Entry'!I122*-1)</f>
        <v>-11</v>
      </c>
      <c r="Q113" s="369">
        <f>IF('Ballot Entry'!H123="p",'Ballot Entry'!I123,'Ballot Entry'!I123*-1)</f>
        <v>0</v>
      </c>
      <c r="R113" s="57"/>
      <c r="S113" s="57"/>
      <c r="T113" s="57"/>
      <c r="U113" s="57"/>
      <c r="V113" s="57"/>
      <c r="W113" s="57"/>
      <c r="X113" s="57"/>
      <c r="Y113" s="57"/>
      <c r="Z113" s="57"/>
      <c r="AA113" s="57"/>
      <c r="AB113" s="57"/>
      <c r="AC113" s="57"/>
      <c r="AE113" s="57"/>
      <c r="AF113" s="57"/>
      <c r="AG113" s="57"/>
      <c r="AH113" s="57"/>
      <c r="AI113" s="57"/>
      <c r="AJ113" s="57"/>
      <c r="AK113" s="57"/>
      <c r="AL113" s="57"/>
      <c r="AM113" s="57"/>
      <c r="AP113" s="57"/>
      <c r="AQ113" s="57"/>
      <c r="AR113" s="57"/>
    </row>
    <row r="114" spans="1:44" ht="13.5" thickBot="1" x14ac:dyDescent="0.25">
      <c r="A114" s="64" t="str">
        <f>IF(Teams&gt;=4, IF(Ballots = 3, "2", "Hide"), "Hide")</f>
        <v>Hide</v>
      </c>
      <c r="B114" s="388"/>
      <c r="C114" s="281"/>
      <c r="D114" s="282"/>
      <c r="E114" s="282"/>
      <c r="F114" s="77"/>
      <c r="G114" s="70" t="s">
        <v>51</v>
      </c>
      <c r="H114" s="30"/>
      <c r="I114" s="247"/>
      <c r="K114" s="366">
        <f t="shared" si="22"/>
        <v>4</v>
      </c>
      <c r="L114" s="367">
        <f t="shared" si="23"/>
        <v>1</v>
      </c>
      <c r="M114" s="368">
        <f>IF(ISBLANK('Ballot Entry'!D124),9999,'Ballot Entry'!D124)</f>
        <v>1217</v>
      </c>
      <c r="N114" s="368">
        <f>IF(ISBLANK('Ballot Entry'!F124),9999,'Ballot Entry'!F124)</f>
        <v>1029</v>
      </c>
      <c r="O114" s="367">
        <f>IF('Ballot Entry'!H124="p",'Ballot Entry'!I124,'Ballot Entry'!I124*-1)</f>
        <v>-6</v>
      </c>
      <c r="P114" s="367">
        <f>IF('Ballot Entry'!H125="p",'Ballot Entry'!I125,'Ballot Entry'!I125*-1)</f>
        <v>-3</v>
      </c>
      <c r="Q114" s="369">
        <f>IF('Ballot Entry'!H126="p",'Ballot Entry'!I126,'Ballot Entry'!I126*-1)</f>
        <v>0</v>
      </c>
      <c r="R114" s="57"/>
      <c r="S114" s="57"/>
      <c r="T114" s="57"/>
      <c r="U114" s="57"/>
      <c r="V114" s="57"/>
      <c r="W114" s="57"/>
      <c r="X114" s="57"/>
      <c r="Y114" s="57"/>
      <c r="Z114" s="57"/>
      <c r="AA114" s="57"/>
      <c r="AB114" s="57"/>
      <c r="AC114" s="57"/>
      <c r="AE114" s="57"/>
      <c r="AF114" s="57"/>
      <c r="AG114" s="57"/>
      <c r="AH114" s="57"/>
      <c r="AI114" s="57"/>
      <c r="AJ114" s="57"/>
      <c r="AK114" s="57"/>
      <c r="AL114" s="57"/>
      <c r="AM114" s="57"/>
      <c r="AP114" s="57"/>
      <c r="AQ114" s="57"/>
      <c r="AR114" s="57"/>
    </row>
    <row r="115" spans="1:44" ht="15" thickTop="1" x14ac:dyDescent="0.3">
      <c r="A115" s="60" t="str">
        <f>IF(Teams&gt;=6, "2", "Hide")</f>
        <v>2</v>
      </c>
      <c r="B115" s="384">
        <f>B9</f>
        <v>503</v>
      </c>
      <c r="C115" s="276" t="s">
        <v>220</v>
      </c>
      <c r="D115" s="384">
        <v>1001</v>
      </c>
      <c r="E115" s="276" t="s">
        <v>221</v>
      </c>
      <c r="F115" s="74">
        <v>1258</v>
      </c>
      <c r="G115" s="67" t="s">
        <v>49</v>
      </c>
      <c r="H115" s="25" t="s">
        <v>33</v>
      </c>
      <c r="I115" s="242">
        <v>2</v>
      </c>
      <c r="K115" s="366">
        <f t="shared" si="22"/>
        <v>8</v>
      </c>
      <c r="L115" s="367">
        <f t="shared" si="23"/>
        <v>3</v>
      </c>
      <c r="M115" s="368">
        <f>IF(ISBLANK('Ballot Entry'!D127),9999,'Ballot Entry'!D127)</f>
        <v>1616</v>
      </c>
      <c r="N115" s="368">
        <f>IF(ISBLANK('Ballot Entry'!F127),9999,'Ballot Entry'!F127)</f>
        <v>1262</v>
      </c>
      <c r="O115" s="367">
        <f>IF('Ballot Entry'!H127="p",'Ballot Entry'!I127,'Ballot Entry'!I127*-1)</f>
        <v>1</v>
      </c>
      <c r="P115" s="367">
        <f>IF('Ballot Entry'!H128="p",'Ballot Entry'!I128,'Ballot Entry'!I128*-1)</f>
        <v>0</v>
      </c>
      <c r="Q115" s="369">
        <f>IF('Ballot Entry'!H129="p",'Ballot Entry'!I129,'Ballot Entry'!I129*-1)</f>
        <v>0</v>
      </c>
      <c r="R115" s="57"/>
      <c r="S115" s="57"/>
      <c r="T115" s="57"/>
      <c r="U115" s="57"/>
      <c r="V115" s="57"/>
      <c r="W115" s="57"/>
      <c r="X115" s="57"/>
      <c r="Y115" s="57"/>
      <c r="Z115" s="57"/>
      <c r="AA115" s="57"/>
      <c r="AB115" s="57"/>
      <c r="AC115" s="57"/>
      <c r="AE115" s="57"/>
      <c r="AF115" s="57"/>
      <c r="AG115" s="57"/>
      <c r="AH115" s="57"/>
      <c r="AI115" s="57"/>
      <c r="AJ115" s="57"/>
      <c r="AK115" s="57"/>
      <c r="AL115" s="57"/>
      <c r="AM115" s="57"/>
      <c r="AP115" s="57"/>
      <c r="AQ115" s="57"/>
      <c r="AR115" s="57"/>
    </row>
    <row r="116" spans="1:44" x14ac:dyDescent="0.2">
      <c r="A116" s="61" t="str">
        <f>IF(Teams&gt;=6, "2", "Hide")</f>
        <v>2</v>
      </c>
      <c r="G116" s="68" t="s">
        <v>50</v>
      </c>
      <c r="H116" s="26" t="s">
        <v>33</v>
      </c>
      <c r="I116" s="243">
        <v>12</v>
      </c>
      <c r="K116" s="366">
        <f t="shared" si="22"/>
        <v>2</v>
      </c>
      <c r="L116" s="367">
        <f t="shared" si="23"/>
        <v>9</v>
      </c>
      <c r="M116" s="368">
        <f>IF(ISBLANK('Ballot Entry'!D130),9999,'Ballot Entry'!D130)</f>
        <v>1051</v>
      </c>
      <c r="N116" s="368">
        <f>IF(ISBLANK('Ballot Entry'!F130),9999,'Ballot Entry'!F130)</f>
        <v>1577</v>
      </c>
      <c r="O116" s="367">
        <f>IF('Ballot Entry'!H130="p",'Ballot Entry'!I130,'Ballot Entry'!I130*-1)</f>
        <v>-6</v>
      </c>
      <c r="P116" s="367">
        <f>IF('Ballot Entry'!H131="p",'Ballot Entry'!I131,'Ballot Entry'!I131*-1)</f>
        <v>-13</v>
      </c>
      <c r="Q116" s="369">
        <f>IF('Ballot Entry'!H132="p",'Ballot Entry'!I132,'Ballot Entry'!I132*-1)</f>
        <v>0</v>
      </c>
      <c r="R116" s="57"/>
      <c r="S116" s="57"/>
      <c r="T116" s="57"/>
      <c r="U116" s="57"/>
      <c r="V116" s="57"/>
      <c r="W116" s="57"/>
      <c r="X116" s="57"/>
      <c r="Y116" s="57"/>
      <c r="Z116" s="57"/>
      <c r="AA116" s="57"/>
      <c r="AB116" s="57"/>
      <c r="AC116" s="57"/>
      <c r="AE116" s="57"/>
      <c r="AF116" s="57"/>
      <c r="AG116" s="57"/>
      <c r="AH116" s="57"/>
      <c r="AI116" s="57"/>
      <c r="AJ116" s="57"/>
      <c r="AK116" s="57"/>
      <c r="AL116" s="57"/>
      <c r="AM116" s="57"/>
      <c r="AP116" s="57"/>
      <c r="AQ116" s="57"/>
      <c r="AR116" s="57"/>
    </row>
    <row r="117" spans="1:44" ht="13.5" thickBot="1" x14ac:dyDescent="0.25">
      <c r="A117" s="61" t="str">
        <f>IF(Teams&gt;=6, IF(Ballots = 3, "2", "Hide"), "Hide")</f>
        <v>Hide</v>
      </c>
      <c r="B117" s="386"/>
      <c r="C117" s="277"/>
      <c r="D117" s="278"/>
      <c r="E117" s="278"/>
      <c r="F117" s="75"/>
      <c r="G117" s="68" t="s">
        <v>51</v>
      </c>
      <c r="H117" s="27"/>
      <c r="I117" s="244"/>
      <c r="K117" s="366">
        <f t="shared" si="22"/>
        <v>3</v>
      </c>
      <c r="L117" s="367">
        <f t="shared" si="23"/>
        <v>7</v>
      </c>
      <c r="M117" s="368">
        <f>IF(ISBLANK('Ballot Entry'!D133),9999,'Ballot Entry'!D133)</f>
        <v>1078</v>
      </c>
      <c r="N117" s="368">
        <f>IF(ISBLANK('Ballot Entry'!F133),9999,'Ballot Entry'!F133)</f>
        <v>1506</v>
      </c>
      <c r="O117" s="367">
        <f>IF('Ballot Entry'!H133="p",'Ballot Entry'!I133,'Ballot Entry'!I133*-1)</f>
        <v>-4</v>
      </c>
      <c r="P117" s="367">
        <f>IF('Ballot Entry'!H134="p",'Ballot Entry'!I134,'Ballot Entry'!I134*-1)</f>
        <v>3</v>
      </c>
      <c r="Q117" s="369">
        <f>IF('Ballot Entry'!H135="p",'Ballot Entry'!I135,'Ballot Entry'!I135*-1)</f>
        <v>0</v>
      </c>
      <c r="R117" s="57"/>
      <c r="S117" s="57"/>
      <c r="T117" s="57"/>
      <c r="U117" s="57"/>
      <c r="V117" s="57"/>
      <c r="X117" s="57"/>
      <c r="Y117" s="57"/>
      <c r="Z117" s="57"/>
      <c r="AA117" s="57"/>
      <c r="AB117" s="57"/>
      <c r="AC117" s="57"/>
      <c r="AE117" s="57"/>
      <c r="AF117" s="57"/>
      <c r="AG117" s="57"/>
      <c r="AH117" s="57"/>
      <c r="AI117" s="57"/>
      <c r="AJ117" s="57"/>
      <c r="AK117" s="57"/>
      <c r="AL117" s="57"/>
      <c r="AM117" s="57"/>
      <c r="AP117" s="57"/>
      <c r="AQ117" s="57"/>
      <c r="AR117" s="57"/>
    </row>
    <row r="118" spans="1:44" ht="15" thickTop="1" x14ac:dyDescent="0.3">
      <c r="A118" s="62" t="str">
        <f>IF(Teams&gt;=8, "2", "Hide")</f>
        <v>2</v>
      </c>
      <c r="B118" s="387">
        <f>B12</f>
        <v>504</v>
      </c>
      <c r="C118" s="279" t="s">
        <v>220</v>
      </c>
      <c r="D118" s="280">
        <v>1492</v>
      </c>
      <c r="E118" s="279" t="s">
        <v>221</v>
      </c>
      <c r="F118" s="76">
        <v>1557</v>
      </c>
      <c r="G118" s="69" t="s">
        <v>49</v>
      </c>
      <c r="H118" s="28" t="s">
        <v>47</v>
      </c>
      <c r="I118" s="245">
        <v>11</v>
      </c>
      <c r="K118" s="366">
        <f t="shared" si="22"/>
        <v>10</v>
      </c>
      <c r="L118" s="367">
        <f t="shared" si="23"/>
        <v>10</v>
      </c>
      <c r="M118" s="368">
        <f>IF(ISBLANK('Ballot Entry'!D136),9999,'Ballot Entry'!D136)</f>
        <v>9999</v>
      </c>
      <c r="N118" s="368">
        <f>IF(ISBLANK('Ballot Entry'!F136),9999,'Ballot Entry'!F136)</f>
        <v>9999</v>
      </c>
      <c r="O118" s="367">
        <f>IF('Ballot Entry'!H136="p",'Ballot Entry'!I136,'Ballot Entry'!I136*-1)</f>
        <v>0</v>
      </c>
      <c r="P118" s="367">
        <f>IF('Ballot Entry'!H137="p",'Ballot Entry'!I137,'Ballot Entry'!I137*-1)</f>
        <v>0</v>
      </c>
      <c r="Q118" s="369">
        <f>IF('Ballot Entry'!H138="p",'Ballot Entry'!I138,'Ballot Entry'!I138*-1)</f>
        <v>0</v>
      </c>
      <c r="R118" s="57"/>
      <c r="S118" s="57"/>
      <c r="T118" s="57"/>
      <c r="U118" s="57"/>
      <c r="V118" s="57"/>
      <c r="W118" s="57"/>
      <c r="X118" s="57"/>
      <c r="Y118" s="57"/>
      <c r="Z118" s="57"/>
      <c r="AA118" s="57"/>
      <c r="AB118" s="57"/>
      <c r="AC118" s="57"/>
      <c r="AE118" s="57"/>
      <c r="AF118" s="57"/>
      <c r="AG118" s="57"/>
      <c r="AH118" s="57"/>
      <c r="AI118" s="57"/>
      <c r="AJ118" s="57"/>
      <c r="AK118" s="57"/>
      <c r="AL118" s="57"/>
      <c r="AM118" s="57"/>
      <c r="AP118" s="57"/>
      <c r="AQ118" s="57"/>
      <c r="AR118" s="57"/>
    </row>
    <row r="119" spans="1:44" x14ac:dyDescent="0.2">
      <c r="A119" s="63" t="str">
        <f>IF(Teams&gt;=8, "2", "Hide")</f>
        <v>2</v>
      </c>
      <c r="B119" s="386"/>
      <c r="G119" s="68" t="s">
        <v>50</v>
      </c>
      <c r="H119" s="29" t="s">
        <v>33</v>
      </c>
      <c r="I119" s="246">
        <v>3</v>
      </c>
      <c r="K119" s="366">
        <f t="shared" si="22"/>
        <v>10</v>
      </c>
      <c r="L119" s="367">
        <f t="shared" si="23"/>
        <v>10</v>
      </c>
      <c r="M119" s="368">
        <f>IF(ISBLANK('Ballot Entry'!D139),9999,'Ballot Entry'!D139)</f>
        <v>9999</v>
      </c>
      <c r="N119" s="368">
        <f>IF(ISBLANK('Ballot Entry'!F139),9999,'Ballot Entry'!F139)</f>
        <v>9999</v>
      </c>
      <c r="O119" s="367">
        <f>IF('Ballot Entry'!H139="p",'Ballot Entry'!I139,'Ballot Entry'!I139*-1)</f>
        <v>0</v>
      </c>
      <c r="P119" s="367">
        <f>IF('Ballot Entry'!H140="p",'Ballot Entry'!I140,'Ballot Entry'!I140*-1)</f>
        <v>0</v>
      </c>
      <c r="Q119" s="369">
        <f>IF('Ballot Entry'!H141="p",'Ballot Entry'!I141,'Ballot Entry'!I141*-1)</f>
        <v>0</v>
      </c>
      <c r="R119" s="57"/>
      <c r="S119" s="57"/>
      <c r="T119" s="57"/>
      <c r="U119" s="57"/>
      <c r="V119" s="57"/>
      <c r="W119" s="57"/>
      <c r="X119" s="57"/>
      <c r="Y119" s="57"/>
      <c r="Z119" s="57"/>
      <c r="AA119" s="57"/>
      <c r="AB119" s="57"/>
      <c r="AC119" s="57"/>
      <c r="AE119" s="57"/>
      <c r="AF119" s="57"/>
      <c r="AG119" s="57"/>
      <c r="AH119" s="57"/>
      <c r="AI119" s="57"/>
      <c r="AJ119" s="57"/>
      <c r="AK119" s="57"/>
      <c r="AL119" s="57"/>
      <c r="AM119" s="57"/>
      <c r="AP119" s="57"/>
      <c r="AQ119" s="57"/>
      <c r="AR119" s="57"/>
    </row>
    <row r="120" spans="1:44" ht="13.5" thickBot="1" x14ac:dyDescent="0.25">
      <c r="A120" s="64" t="str">
        <f>IF(Teams&gt;=8, IF(Ballots = 3, "2", "Hide"), "Hide")</f>
        <v>Hide</v>
      </c>
      <c r="B120" s="388"/>
      <c r="C120" s="281"/>
      <c r="D120" s="282"/>
      <c r="E120" s="282"/>
      <c r="F120" s="77"/>
      <c r="G120" s="70" t="s">
        <v>51</v>
      </c>
      <c r="H120" s="30"/>
      <c r="I120" s="247"/>
      <c r="K120" s="366">
        <f t="shared" si="22"/>
        <v>10</v>
      </c>
      <c r="L120" s="367">
        <f t="shared" si="23"/>
        <v>10</v>
      </c>
      <c r="M120" s="368">
        <f>IF(ISBLANK('Ballot Entry'!D142),9999,'Ballot Entry'!D142)</f>
        <v>9999</v>
      </c>
      <c r="N120" s="368">
        <f>IF(ISBLANK('Ballot Entry'!F142),9999,'Ballot Entry'!F142)</f>
        <v>9999</v>
      </c>
      <c r="O120" s="367">
        <f>IF('Ballot Entry'!H142="p",'Ballot Entry'!I142,'Ballot Entry'!I142*-1)</f>
        <v>0</v>
      </c>
      <c r="P120" s="367">
        <f>IF('Ballot Entry'!H143="p",'Ballot Entry'!I143,'Ballot Entry'!I143*-1)</f>
        <v>0</v>
      </c>
      <c r="Q120" s="369">
        <f>IF('Ballot Entry'!H144="p",'Ballot Entry'!I144,'Ballot Entry'!I144*-1)</f>
        <v>0</v>
      </c>
      <c r="R120" s="57"/>
      <c r="S120" s="57"/>
      <c r="T120" s="57"/>
      <c r="U120" s="57"/>
      <c r="V120" s="57"/>
      <c r="W120" s="57"/>
      <c r="X120" s="57"/>
      <c r="Y120" s="57"/>
      <c r="Z120" s="57"/>
      <c r="AA120" s="57"/>
      <c r="AB120" s="57"/>
      <c r="AC120" s="57"/>
      <c r="AE120" s="57"/>
      <c r="AF120" s="57"/>
      <c r="AG120" s="57"/>
      <c r="AH120" s="57"/>
      <c r="AI120" s="57"/>
      <c r="AJ120" s="57"/>
      <c r="AK120" s="57"/>
      <c r="AL120" s="57"/>
      <c r="AM120" s="57"/>
      <c r="AP120" s="57"/>
      <c r="AQ120" s="57"/>
      <c r="AR120" s="57"/>
    </row>
    <row r="121" spans="1:44" ht="15" thickTop="1" x14ac:dyDescent="0.3">
      <c r="A121" s="60" t="str">
        <f>IF(Teams&gt;=10, "2", "Hide")</f>
        <v>2</v>
      </c>
      <c r="B121" s="384">
        <f>B15</f>
        <v>601</v>
      </c>
      <c r="C121" s="276" t="s">
        <v>220</v>
      </c>
      <c r="D121" s="384">
        <v>1224</v>
      </c>
      <c r="E121" s="276" t="s">
        <v>221</v>
      </c>
      <c r="F121" s="74">
        <v>1268</v>
      </c>
      <c r="G121" s="67" t="s">
        <v>49</v>
      </c>
      <c r="H121" s="25" t="s">
        <v>33</v>
      </c>
      <c r="I121" s="242">
        <v>4</v>
      </c>
      <c r="K121" s="366">
        <f t="shared" si="22"/>
        <v>10</v>
      </c>
      <c r="L121" s="367">
        <f t="shared" si="23"/>
        <v>10</v>
      </c>
      <c r="M121" s="368">
        <f>IF(ISBLANK('Ballot Entry'!D145),9999,'Ballot Entry'!D145)</f>
        <v>9999</v>
      </c>
      <c r="N121" s="368">
        <f>IF(ISBLANK('Ballot Entry'!F145),9999,'Ballot Entry'!F145)</f>
        <v>9999</v>
      </c>
      <c r="O121" s="367">
        <f>IF('Ballot Entry'!H145="p",'Ballot Entry'!I145,'Ballot Entry'!I145*-1)</f>
        <v>0</v>
      </c>
      <c r="P121" s="367">
        <f>IF('Ballot Entry'!H146="p",'Ballot Entry'!I146,'Ballot Entry'!I146*-1)</f>
        <v>0</v>
      </c>
      <c r="Q121" s="369">
        <f>IF('Ballot Entry'!H147="p",'Ballot Entry'!I147,'Ballot Entry'!I147*-1)</f>
        <v>0</v>
      </c>
      <c r="R121" s="57"/>
      <c r="S121" s="57"/>
      <c r="T121" s="57"/>
      <c r="U121" s="57"/>
      <c r="V121" s="57"/>
      <c r="W121" s="57"/>
      <c r="X121" s="57"/>
      <c r="Y121" s="57"/>
      <c r="Z121" s="57"/>
      <c r="AA121" s="57"/>
      <c r="AB121" s="57"/>
      <c r="AC121" s="57"/>
      <c r="AE121" s="57"/>
      <c r="AF121" s="57"/>
      <c r="AG121" s="57"/>
      <c r="AH121" s="57"/>
      <c r="AI121" s="57"/>
      <c r="AJ121" s="57"/>
      <c r="AK121" s="57"/>
      <c r="AL121" s="57"/>
      <c r="AM121" s="57"/>
      <c r="AP121" s="57"/>
      <c r="AQ121" s="57"/>
      <c r="AR121" s="57"/>
    </row>
    <row r="122" spans="1:44" x14ac:dyDescent="0.2">
      <c r="A122" s="61" t="str">
        <f>IF(Teams&gt;=10, "2", "Hide")</f>
        <v>2</v>
      </c>
      <c r="G122" s="68" t="s">
        <v>50</v>
      </c>
      <c r="H122" s="26" t="s">
        <v>47</v>
      </c>
      <c r="I122" s="243">
        <v>11</v>
      </c>
      <c r="K122" s="366">
        <f t="shared" si="22"/>
        <v>10</v>
      </c>
      <c r="L122" s="367">
        <f t="shared" si="23"/>
        <v>10</v>
      </c>
      <c r="M122" s="368">
        <f>IF(ISBLANK('Ballot Entry'!D148),9999,'Ballot Entry'!D148)</f>
        <v>9999</v>
      </c>
      <c r="N122" s="368">
        <f>IF(ISBLANK('Ballot Entry'!F148),9999,'Ballot Entry'!F148)</f>
        <v>9999</v>
      </c>
      <c r="O122" s="367">
        <f>IF('Ballot Entry'!H148="p",'Ballot Entry'!I148,'Ballot Entry'!I148*-1)</f>
        <v>0</v>
      </c>
      <c r="P122" s="367">
        <f>IF('Ballot Entry'!H149="p",'Ballot Entry'!I149,'Ballot Entry'!I149*-1)</f>
        <v>0</v>
      </c>
      <c r="Q122" s="369">
        <f>IF('Ballot Entry'!H150="p",'Ballot Entry'!I150,'Ballot Entry'!I150*-1)</f>
        <v>0</v>
      </c>
      <c r="R122" s="57"/>
      <c r="S122" s="57"/>
      <c r="T122" s="57"/>
      <c r="U122" s="57"/>
      <c r="V122" s="57"/>
      <c r="W122" s="57"/>
      <c r="X122" s="57"/>
      <c r="Y122" s="57"/>
      <c r="Z122" s="57"/>
      <c r="AA122" s="57"/>
      <c r="AB122" s="57"/>
      <c r="AC122" s="57"/>
      <c r="AE122" s="57"/>
      <c r="AF122" s="57"/>
      <c r="AG122" s="57"/>
      <c r="AH122" s="57"/>
      <c r="AI122" s="57"/>
      <c r="AJ122" s="57"/>
      <c r="AK122" s="57"/>
      <c r="AL122" s="57"/>
      <c r="AM122" s="57"/>
      <c r="AP122" s="57"/>
      <c r="AQ122" s="57"/>
      <c r="AR122" s="57"/>
    </row>
    <row r="123" spans="1:44" ht="13.5" thickBot="1" x14ac:dyDescent="0.25">
      <c r="A123" s="61" t="str">
        <f>IF(Teams&gt;=10, IF(Ballots = 3, "2", "Hide"), "Hide")</f>
        <v>Hide</v>
      </c>
      <c r="B123" s="386"/>
      <c r="C123" s="277"/>
      <c r="D123" s="278"/>
      <c r="E123" s="278"/>
      <c r="F123" s="75"/>
      <c r="G123" s="68" t="s">
        <v>51</v>
      </c>
      <c r="H123" s="27"/>
      <c r="I123" s="244"/>
      <c r="K123" s="366">
        <f t="shared" si="22"/>
        <v>10</v>
      </c>
      <c r="L123" s="367">
        <f t="shared" si="23"/>
        <v>10</v>
      </c>
      <c r="M123" s="368">
        <f>IF(ISBLANK('Ballot Entry'!D151),9999,'Ballot Entry'!D151)</f>
        <v>9999</v>
      </c>
      <c r="N123" s="368">
        <f>IF(ISBLANK('Ballot Entry'!F151),9999,'Ballot Entry'!F151)</f>
        <v>9999</v>
      </c>
      <c r="O123" s="367">
        <f>IF('Ballot Entry'!H151="p",'Ballot Entry'!I151,'Ballot Entry'!I151*-1)</f>
        <v>0</v>
      </c>
      <c r="P123" s="367">
        <f>IF('Ballot Entry'!H152="p",'Ballot Entry'!I152,'Ballot Entry'!I152*-1)</f>
        <v>0</v>
      </c>
      <c r="Q123" s="369">
        <f>IF('Ballot Entry'!H153="p",'Ballot Entry'!I153,'Ballot Entry'!I153*-1)</f>
        <v>0</v>
      </c>
      <c r="R123" s="57"/>
      <c r="S123" s="57"/>
      <c r="T123" s="57"/>
      <c r="U123" s="57"/>
      <c r="V123" s="57"/>
      <c r="W123" s="57"/>
      <c r="X123" s="57"/>
      <c r="Y123" s="57"/>
      <c r="Z123" s="57"/>
      <c r="AA123" s="57"/>
      <c r="AB123" s="57"/>
      <c r="AC123" s="57"/>
      <c r="AE123" s="57"/>
      <c r="AF123" s="57"/>
      <c r="AG123" s="57"/>
      <c r="AH123" s="57"/>
      <c r="AI123" s="57"/>
      <c r="AJ123" s="57"/>
      <c r="AK123" s="57"/>
      <c r="AL123" s="57"/>
      <c r="AM123" s="57"/>
      <c r="AP123" s="57"/>
      <c r="AQ123" s="57"/>
      <c r="AR123" s="57"/>
    </row>
    <row r="124" spans="1:44" ht="15" thickTop="1" x14ac:dyDescent="0.3">
      <c r="A124" s="62" t="str">
        <f>IF(Teams&gt;=12, "2", "Hide")</f>
        <v>2</v>
      </c>
      <c r="B124" s="387">
        <f>B18</f>
        <v>602</v>
      </c>
      <c r="C124" s="279" t="s">
        <v>220</v>
      </c>
      <c r="D124" s="280">
        <v>1217</v>
      </c>
      <c r="E124" s="279" t="s">
        <v>221</v>
      </c>
      <c r="F124" s="76">
        <v>1029</v>
      </c>
      <c r="G124" s="69" t="s">
        <v>49</v>
      </c>
      <c r="H124" s="28" t="s">
        <v>47</v>
      </c>
      <c r="I124" s="245">
        <v>6</v>
      </c>
      <c r="K124" s="366">
        <f t="shared" si="22"/>
        <v>10</v>
      </c>
      <c r="L124" s="367">
        <f t="shared" si="23"/>
        <v>10</v>
      </c>
      <c r="M124" s="368">
        <f>IF(ISBLANK('Ballot Entry'!D154),9999,'Ballot Entry'!D154)</f>
        <v>9999</v>
      </c>
      <c r="N124" s="368">
        <f>IF(ISBLANK('Ballot Entry'!F154),9999,'Ballot Entry'!F154)</f>
        <v>9999</v>
      </c>
      <c r="O124" s="367">
        <f>IF('Ballot Entry'!H154="p",'Ballot Entry'!I154,'Ballot Entry'!I154*-1)</f>
        <v>0</v>
      </c>
      <c r="P124" s="367">
        <f>IF('Ballot Entry'!H155="p",'Ballot Entry'!I155,'Ballot Entry'!I155*-1)</f>
        <v>0</v>
      </c>
      <c r="Q124" s="369">
        <f>IF('Ballot Entry'!H156="p",'Ballot Entry'!I156,'Ballot Entry'!I156*-1)</f>
        <v>0</v>
      </c>
      <c r="R124" s="57"/>
      <c r="S124" s="57"/>
      <c r="T124" s="57"/>
      <c r="U124" s="57"/>
      <c r="V124" s="57"/>
      <c r="W124" s="57"/>
      <c r="X124" s="57"/>
      <c r="Y124" s="57"/>
      <c r="Z124" s="57"/>
      <c r="AA124" s="57"/>
      <c r="AB124" s="57"/>
      <c r="AC124" s="57"/>
      <c r="AE124" s="57"/>
      <c r="AF124" s="57"/>
      <c r="AG124" s="57"/>
      <c r="AH124" s="57"/>
      <c r="AI124" s="57"/>
      <c r="AJ124" s="57"/>
      <c r="AK124" s="57"/>
      <c r="AL124" s="57"/>
      <c r="AM124" s="57"/>
      <c r="AP124" s="57"/>
      <c r="AQ124" s="57"/>
      <c r="AR124" s="57"/>
    </row>
    <row r="125" spans="1:44" x14ac:dyDescent="0.2">
      <c r="A125" s="63" t="str">
        <f>IF(Teams&gt;=12, "2", "Hide")</f>
        <v>2</v>
      </c>
      <c r="B125" s="386"/>
      <c r="G125" s="68" t="s">
        <v>50</v>
      </c>
      <c r="H125" s="29" t="s">
        <v>47</v>
      </c>
      <c r="I125" s="246">
        <v>3</v>
      </c>
      <c r="K125" s="366">
        <f t="shared" si="22"/>
        <v>10</v>
      </c>
      <c r="L125" s="367">
        <f t="shared" si="23"/>
        <v>10</v>
      </c>
      <c r="M125" s="368">
        <f>IF(ISBLANK('Ballot Entry'!D157),9999,'Ballot Entry'!D157)</f>
        <v>9999</v>
      </c>
      <c r="N125" s="368">
        <f>IF(ISBLANK('Ballot Entry'!F157),9999,'Ballot Entry'!F157)</f>
        <v>9999</v>
      </c>
      <c r="O125" s="367">
        <f>IF('Ballot Entry'!H157="p",'Ballot Entry'!I157,'Ballot Entry'!I157*-1)</f>
        <v>0</v>
      </c>
      <c r="P125" s="367">
        <f>IF('Ballot Entry'!H158="p",'Ballot Entry'!I158,'Ballot Entry'!I158*-1)</f>
        <v>0</v>
      </c>
      <c r="Q125" s="369">
        <f>IF('Ballot Entry'!H159="p",'Ballot Entry'!I159,'Ballot Entry'!I159*-1)</f>
        <v>0</v>
      </c>
      <c r="R125" s="57"/>
      <c r="S125" s="57"/>
      <c r="T125" s="57"/>
      <c r="U125" s="57"/>
      <c r="V125" s="57"/>
      <c r="W125" s="57"/>
      <c r="X125" s="57"/>
      <c r="Y125" s="57"/>
      <c r="Z125" s="57"/>
      <c r="AA125" s="57"/>
      <c r="AB125" s="57"/>
      <c r="AC125" s="57"/>
      <c r="AE125" s="57"/>
      <c r="AF125" s="57"/>
      <c r="AG125" s="57"/>
      <c r="AH125" s="57"/>
      <c r="AI125" s="57"/>
      <c r="AJ125" s="57"/>
      <c r="AK125" s="57"/>
      <c r="AL125" s="57"/>
      <c r="AM125" s="57"/>
      <c r="AP125" s="57"/>
      <c r="AQ125" s="57"/>
      <c r="AR125" s="57"/>
    </row>
    <row r="126" spans="1:44" ht="13.5" thickBot="1" x14ac:dyDescent="0.25">
      <c r="A126" s="64" t="str">
        <f>IF(Teams&gt;=12, IF(Ballots = 3, "2", "Hide"), "Hide")</f>
        <v>Hide</v>
      </c>
      <c r="B126" s="388"/>
      <c r="C126" s="281"/>
      <c r="D126" s="282"/>
      <c r="E126" s="282"/>
      <c r="F126" s="77"/>
      <c r="G126" s="70" t="s">
        <v>51</v>
      </c>
      <c r="H126" s="30"/>
      <c r="I126" s="247"/>
      <c r="K126" s="366">
        <f t="shared" si="22"/>
        <v>10</v>
      </c>
      <c r="L126" s="367">
        <f t="shared" si="23"/>
        <v>10</v>
      </c>
      <c r="M126" s="368">
        <f>IF(ISBLANK('Ballot Entry'!D160),9999,'Ballot Entry'!D160)</f>
        <v>9999</v>
      </c>
      <c r="N126" s="368">
        <f>IF(ISBLANK('Ballot Entry'!F160),9999,'Ballot Entry'!F160)</f>
        <v>9999</v>
      </c>
      <c r="O126" s="367">
        <f>IF('Ballot Entry'!H160="p",'Ballot Entry'!I160,'Ballot Entry'!I160*-1)</f>
        <v>0</v>
      </c>
      <c r="P126" s="367">
        <f>IF('Ballot Entry'!H161="p",'Ballot Entry'!I161,'Ballot Entry'!I161*-1)</f>
        <v>0</v>
      </c>
      <c r="Q126" s="369">
        <f>IF('Ballot Entry'!H162="p",'Ballot Entry'!I162,'Ballot Entry'!I162*-1)</f>
        <v>0</v>
      </c>
      <c r="R126" s="57"/>
      <c r="S126" s="57"/>
      <c r="T126" s="57"/>
      <c r="U126" s="57"/>
      <c r="V126" s="57"/>
      <c r="W126" s="57"/>
      <c r="X126" s="57"/>
      <c r="Y126" s="57"/>
      <c r="Z126" s="57"/>
      <c r="AA126" s="57"/>
      <c r="AB126" s="57"/>
      <c r="AC126" s="57"/>
      <c r="AE126" s="57"/>
      <c r="AF126" s="57"/>
      <c r="AG126" s="57"/>
      <c r="AH126" s="57"/>
      <c r="AI126" s="57"/>
      <c r="AJ126" s="57"/>
      <c r="AK126" s="57"/>
      <c r="AL126" s="57"/>
      <c r="AM126" s="57"/>
      <c r="AP126" s="57"/>
      <c r="AQ126" s="57"/>
      <c r="AR126" s="57"/>
    </row>
    <row r="127" spans="1:44" ht="15" thickTop="1" x14ac:dyDescent="0.3">
      <c r="A127" s="60" t="str">
        <f>IF(Teams&gt;=14, "2", "Hide")</f>
        <v>2</v>
      </c>
      <c r="B127" s="384">
        <f>B21</f>
        <v>603</v>
      </c>
      <c r="C127" s="276" t="s">
        <v>220</v>
      </c>
      <c r="D127" s="384">
        <v>1616</v>
      </c>
      <c r="E127" s="276" t="s">
        <v>221</v>
      </c>
      <c r="F127" s="74">
        <v>1262</v>
      </c>
      <c r="G127" s="67" t="s">
        <v>49</v>
      </c>
      <c r="H127" s="25" t="s">
        <v>33</v>
      </c>
      <c r="I127" s="242">
        <v>1</v>
      </c>
      <c r="K127" s="366">
        <f t="shared" si="22"/>
        <v>10</v>
      </c>
      <c r="L127" s="367">
        <f t="shared" si="23"/>
        <v>10</v>
      </c>
      <c r="M127" s="368">
        <f>IF(ISBLANK('Ballot Entry'!D163),9999,'Ballot Entry'!D163)</f>
        <v>9999</v>
      </c>
      <c r="N127" s="368">
        <f>IF(ISBLANK('Ballot Entry'!F163),9999,'Ballot Entry'!F163)</f>
        <v>9999</v>
      </c>
      <c r="O127" s="367">
        <f>IF('Ballot Entry'!H163="p",'Ballot Entry'!I163,'Ballot Entry'!I163*-1)</f>
        <v>0</v>
      </c>
      <c r="P127" s="367">
        <f>IF('Ballot Entry'!H164="p",'Ballot Entry'!I164,'Ballot Entry'!I164*-1)</f>
        <v>0</v>
      </c>
      <c r="Q127" s="369">
        <f>IF('Ballot Entry'!H165="p",'Ballot Entry'!I165,'Ballot Entry'!I165*-1)</f>
        <v>0</v>
      </c>
      <c r="R127" s="57"/>
      <c r="S127" s="57"/>
      <c r="T127" s="57"/>
      <c r="U127" s="57"/>
      <c r="V127" s="57"/>
      <c r="W127" s="57"/>
      <c r="X127" s="57"/>
      <c r="Y127" s="57"/>
      <c r="Z127" s="57"/>
      <c r="AA127" s="57"/>
      <c r="AB127" s="57"/>
      <c r="AC127" s="57"/>
      <c r="AE127" s="57"/>
      <c r="AF127" s="57"/>
      <c r="AG127" s="57"/>
      <c r="AH127" s="57"/>
      <c r="AI127" s="57"/>
      <c r="AJ127" s="57"/>
      <c r="AK127" s="57"/>
      <c r="AL127" s="57"/>
      <c r="AM127" s="57"/>
      <c r="AP127" s="57"/>
      <c r="AQ127" s="57"/>
      <c r="AR127" s="57"/>
    </row>
    <row r="128" spans="1:44" x14ac:dyDescent="0.2">
      <c r="A128" s="61" t="str">
        <f>IF(Teams&gt;=14, "2", "Hide")</f>
        <v>2</v>
      </c>
      <c r="G128" s="68" t="s">
        <v>50</v>
      </c>
      <c r="H128" s="26" t="s">
        <v>72</v>
      </c>
      <c r="I128" s="243">
        <v>0</v>
      </c>
      <c r="K128" s="366">
        <f t="shared" si="22"/>
        <v>10</v>
      </c>
      <c r="L128" s="367">
        <f t="shared" si="23"/>
        <v>10</v>
      </c>
      <c r="M128" s="368">
        <f>IF(ISBLANK('Ballot Entry'!D166),9999,'Ballot Entry'!D166)</f>
        <v>9999</v>
      </c>
      <c r="N128" s="368">
        <f>IF(ISBLANK('Ballot Entry'!F166),9999,'Ballot Entry'!F166)</f>
        <v>9999</v>
      </c>
      <c r="O128" s="367">
        <f>IF('Ballot Entry'!H166="p",'Ballot Entry'!I166,'Ballot Entry'!I166*-1)</f>
        <v>0</v>
      </c>
      <c r="P128" s="367">
        <f>IF('Ballot Entry'!H167="p",'Ballot Entry'!I167,'Ballot Entry'!I167*-1)</f>
        <v>0</v>
      </c>
      <c r="Q128" s="369">
        <f>IF('Ballot Entry'!H168="p",'Ballot Entry'!I168,'Ballot Entry'!I168*-1)</f>
        <v>0</v>
      </c>
      <c r="R128" s="57"/>
      <c r="S128" s="57"/>
      <c r="T128" s="57"/>
      <c r="U128" s="57"/>
      <c r="V128" s="57"/>
      <c r="W128" s="57"/>
      <c r="X128" s="57"/>
      <c r="Y128" s="57"/>
      <c r="Z128" s="57"/>
      <c r="AA128" s="57"/>
      <c r="AB128" s="57"/>
      <c r="AC128" s="57"/>
      <c r="AE128" s="57"/>
      <c r="AF128" s="57"/>
      <c r="AG128" s="57"/>
      <c r="AH128" s="57"/>
      <c r="AI128" s="57"/>
      <c r="AJ128" s="57"/>
      <c r="AK128" s="57"/>
      <c r="AL128" s="57"/>
      <c r="AM128" s="57"/>
      <c r="AP128" s="57"/>
      <c r="AQ128" s="57"/>
      <c r="AR128" s="57"/>
    </row>
    <row r="129" spans="1:44" ht="13.5" thickBot="1" x14ac:dyDescent="0.25">
      <c r="A129" s="61" t="str">
        <f>IF(Teams&gt;=14, IF(Ballots = 3, "2", "Hide"), "Hide")</f>
        <v>Hide</v>
      </c>
      <c r="B129" s="386"/>
      <c r="C129" s="277"/>
      <c r="D129" s="278"/>
      <c r="E129" s="278"/>
      <c r="F129" s="75"/>
      <c r="G129" s="68" t="s">
        <v>51</v>
      </c>
      <c r="H129" s="27"/>
      <c r="I129" s="244"/>
      <c r="K129" s="366">
        <f t="shared" si="22"/>
        <v>10</v>
      </c>
      <c r="L129" s="367">
        <f t="shared" si="23"/>
        <v>10</v>
      </c>
      <c r="M129" s="368">
        <f>IF(ISBLANK('Ballot Entry'!D169),9999,'Ballot Entry'!D169)</f>
        <v>9999</v>
      </c>
      <c r="N129" s="368">
        <f>IF(ISBLANK('Ballot Entry'!F169),9999,'Ballot Entry'!F169)</f>
        <v>9999</v>
      </c>
      <c r="O129" s="367">
        <f>IF('Ballot Entry'!H169="p",'Ballot Entry'!I169,'Ballot Entry'!I169*-1)</f>
        <v>0</v>
      </c>
      <c r="P129" s="367">
        <f>IF('Ballot Entry'!H170="p",'Ballot Entry'!I170,'Ballot Entry'!I170*-1)</f>
        <v>0</v>
      </c>
      <c r="Q129" s="369">
        <f>IF('Ballot Entry'!H171="p",'Ballot Entry'!I171,'Ballot Entry'!I171*-1)</f>
        <v>0</v>
      </c>
      <c r="R129" s="57"/>
      <c r="S129" s="57"/>
      <c r="T129" s="57"/>
      <c r="U129" s="57"/>
      <c r="V129" s="57"/>
      <c r="W129" s="57"/>
      <c r="X129" s="57"/>
      <c r="Y129" s="57"/>
      <c r="Z129" s="57"/>
      <c r="AA129" s="57"/>
      <c r="AB129" s="57"/>
      <c r="AC129" s="57"/>
      <c r="AE129" s="57"/>
      <c r="AF129" s="57"/>
      <c r="AG129" s="57"/>
      <c r="AH129" s="57"/>
      <c r="AI129" s="57"/>
      <c r="AJ129" s="57"/>
      <c r="AK129" s="57"/>
      <c r="AL129" s="57"/>
      <c r="AM129" s="57"/>
      <c r="AP129" s="57"/>
      <c r="AQ129" s="57"/>
      <c r="AR129" s="57"/>
    </row>
    <row r="130" spans="1:44" ht="15" thickTop="1" x14ac:dyDescent="0.3">
      <c r="A130" s="62" t="str">
        <f>IF(Teams&gt;=16, "2", "Hide")</f>
        <v>2</v>
      </c>
      <c r="B130" s="387">
        <f>B24</f>
        <v>604</v>
      </c>
      <c r="C130" s="279" t="s">
        <v>220</v>
      </c>
      <c r="D130" s="280">
        <v>1051</v>
      </c>
      <c r="E130" s="279" t="s">
        <v>221</v>
      </c>
      <c r="F130" s="76">
        <v>1577</v>
      </c>
      <c r="G130" s="69" t="s">
        <v>49</v>
      </c>
      <c r="H130" s="28" t="s">
        <v>47</v>
      </c>
      <c r="I130" s="245">
        <v>6</v>
      </c>
      <c r="K130" s="366">
        <f t="shared" si="22"/>
        <v>10</v>
      </c>
      <c r="L130" s="367">
        <f t="shared" si="23"/>
        <v>10</v>
      </c>
      <c r="M130" s="368">
        <f>IF(ISBLANK('Ballot Entry'!D172),9999,'Ballot Entry'!D172)</f>
        <v>9999</v>
      </c>
      <c r="N130" s="368">
        <f>IF(ISBLANK('Ballot Entry'!F172),9999,'Ballot Entry'!F172)</f>
        <v>9999</v>
      </c>
      <c r="O130" s="367">
        <f>IF('Ballot Entry'!H172="p",'Ballot Entry'!I172,'Ballot Entry'!I172*-1)</f>
        <v>0</v>
      </c>
      <c r="P130" s="367">
        <f>IF('Ballot Entry'!H173="p",'Ballot Entry'!I173,'Ballot Entry'!I173*-1)</f>
        <v>0</v>
      </c>
      <c r="Q130" s="369">
        <f>IF('Ballot Entry'!H174="p",'Ballot Entry'!I174,'Ballot Entry'!I174*-1)</f>
        <v>0</v>
      </c>
      <c r="R130" s="57"/>
      <c r="S130" s="57"/>
      <c r="T130" s="57"/>
      <c r="U130" s="57"/>
      <c r="V130" s="57"/>
      <c r="W130" s="57"/>
      <c r="X130" s="57"/>
      <c r="Y130" s="57"/>
      <c r="Z130" s="57"/>
      <c r="AA130" s="57"/>
      <c r="AB130" s="57"/>
      <c r="AC130" s="57"/>
      <c r="AE130" s="57"/>
      <c r="AF130" s="57"/>
      <c r="AG130" s="57"/>
      <c r="AH130" s="57"/>
      <c r="AI130" s="57"/>
      <c r="AJ130" s="57"/>
      <c r="AK130" s="57"/>
      <c r="AL130" s="57"/>
      <c r="AM130" s="57"/>
      <c r="AP130" s="57"/>
      <c r="AQ130" s="57"/>
      <c r="AR130" s="57"/>
    </row>
    <row r="131" spans="1:44" x14ac:dyDescent="0.2">
      <c r="A131" s="63" t="str">
        <f>IF(Teams&gt;=16, "2", "Hide")</f>
        <v>2</v>
      </c>
      <c r="B131" s="386"/>
      <c r="G131" s="68" t="s">
        <v>50</v>
      </c>
      <c r="H131" s="29" t="s">
        <v>47</v>
      </c>
      <c r="I131" s="246">
        <v>13</v>
      </c>
      <c r="K131" s="366">
        <f t="shared" si="22"/>
        <v>10</v>
      </c>
      <c r="L131" s="367">
        <f t="shared" si="23"/>
        <v>10</v>
      </c>
      <c r="M131" s="368">
        <f>IF(ISBLANK('Ballot Entry'!D175),9999,'Ballot Entry'!D175)</f>
        <v>9999</v>
      </c>
      <c r="N131" s="368">
        <f>IF(ISBLANK('Ballot Entry'!F175),9999,'Ballot Entry'!F175)</f>
        <v>9999</v>
      </c>
      <c r="O131" s="367">
        <f>IF('Ballot Entry'!H175="p",'Ballot Entry'!I175,'Ballot Entry'!I175*-1)</f>
        <v>0</v>
      </c>
      <c r="P131" s="367">
        <f>IF('Ballot Entry'!H176="p",'Ballot Entry'!I176,'Ballot Entry'!I176*-1)</f>
        <v>0</v>
      </c>
      <c r="Q131" s="369">
        <f>IF('Ballot Entry'!H177="p",'Ballot Entry'!I177,'Ballot Entry'!I177*-1)</f>
        <v>0</v>
      </c>
      <c r="R131" s="57"/>
      <c r="S131" s="57"/>
      <c r="T131" s="57"/>
      <c r="U131" s="57"/>
      <c r="V131" s="57"/>
      <c r="W131" s="57"/>
      <c r="X131" s="57"/>
      <c r="Y131" s="57"/>
      <c r="Z131" s="57"/>
      <c r="AA131" s="57"/>
      <c r="AB131" s="57"/>
      <c r="AC131" s="57"/>
      <c r="AE131" s="57"/>
      <c r="AF131" s="57"/>
      <c r="AG131" s="57"/>
      <c r="AH131" s="57"/>
      <c r="AI131" s="57"/>
      <c r="AJ131" s="57"/>
      <c r="AK131" s="57"/>
      <c r="AL131" s="57"/>
      <c r="AM131" s="57"/>
      <c r="AP131" s="57"/>
      <c r="AQ131" s="57"/>
      <c r="AR131" s="57"/>
    </row>
    <row r="132" spans="1:44" ht="13.5" thickBot="1" x14ac:dyDescent="0.25">
      <c r="A132" s="64" t="str">
        <f>IF(Teams&gt;=16, IF(Ballots = 3, "2", "Hide"), "Hide")</f>
        <v>Hide</v>
      </c>
      <c r="B132" s="388"/>
      <c r="C132" s="281"/>
      <c r="D132" s="282"/>
      <c r="E132" s="282"/>
      <c r="F132" s="77"/>
      <c r="G132" s="70" t="s">
        <v>51</v>
      </c>
      <c r="H132" s="30"/>
      <c r="I132" s="247"/>
      <c r="K132" s="366">
        <f t="shared" si="22"/>
        <v>10</v>
      </c>
      <c r="L132" s="367">
        <f t="shared" si="23"/>
        <v>10</v>
      </c>
      <c r="M132" s="368">
        <f>IF(ISBLANK('Ballot Entry'!D178),9999,'Ballot Entry'!D178)</f>
        <v>9999</v>
      </c>
      <c r="N132" s="368">
        <f>IF(ISBLANK('Ballot Entry'!F178),9999,'Ballot Entry'!F178)</f>
        <v>9999</v>
      </c>
      <c r="O132" s="367">
        <f>IF('Ballot Entry'!H178="p",'Ballot Entry'!I178,'Ballot Entry'!I178*-1)</f>
        <v>0</v>
      </c>
      <c r="P132" s="367">
        <f>IF('Ballot Entry'!H179="p",'Ballot Entry'!I179,'Ballot Entry'!I179*-1)</f>
        <v>0</v>
      </c>
      <c r="Q132" s="369">
        <f>IF('Ballot Entry'!H180="p",'Ballot Entry'!I180,'Ballot Entry'!I180*-1)</f>
        <v>0</v>
      </c>
      <c r="R132" s="57"/>
      <c r="S132" s="57"/>
      <c r="T132" s="57"/>
      <c r="U132" s="57"/>
      <c r="V132" s="57"/>
      <c r="W132" s="57"/>
      <c r="X132" s="57"/>
      <c r="Y132" s="57"/>
      <c r="Z132" s="57"/>
      <c r="AA132" s="57"/>
      <c r="AB132" s="57"/>
      <c r="AC132" s="57"/>
      <c r="AE132" s="57"/>
      <c r="AF132" s="57"/>
      <c r="AG132" s="57"/>
      <c r="AH132" s="57"/>
      <c r="AI132" s="57"/>
      <c r="AJ132" s="57"/>
      <c r="AK132" s="57"/>
      <c r="AL132" s="57"/>
      <c r="AM132" s="57"/>
      <c r="AP132" s="57"/>
      <c r="AQ132" s="57"/>
      <c r="AR132" s="57"/>
    </row>
    <row r="133" spans="1:44" ht="15" thickTop="1" x14ac:dyDescent="0.3">
      <c r="A133" s="60" t="str">
        <f>IF(Teams&gt;=18, "2", "Hide")</f>
        <v>2</v>
      </c>
      <c r="B133" s="384" t="str">
        <f>B27</f>
        <v>MCR - 7th</v>
      </c>
      <c r="C133" s="276" t="s">
        <v>220</v>
      </c>
      <c r="D133" s="384">
        <v>1078</v>
      </c>
      <c r="E133" s="276" t="s">
        <v>221</v>
      </c>
      <c r="F133" s="74">
        <v>1506</v>
      </c>
      <c r="G133" s="67" t="s">
        <v>49</v>
      </c>
      <c r="H133" s="25" t="s">
        <v>47</v>
      </c>
      <c r="I133" s="242">
        <v>4</v>
      </c>
      <c r="K133" s="366">
        <f t="shared" si="22"/>
        <v>10</v>
      </c>
      <c r="L133" s="367">
        <f t="shared" si="23"/>
        <v>10</v>
      </c>
      <c r="M133" s="368">
        <f>IF(ISBLANK('Ballot Entry'!D181),9999,'Ballot Entry'!D181)</f>
        <v>9999</v>
      </c>
      <c r="N133" s="368">
        <f>IF(ISBLANK('Ballot Entry'!F181),9999,'Ballot Entry'!F181)</f>
        <v>9999</v>
      </c>
      <c r="O133" s="367">
        <f>IF('Ballot Entry'!H181="p",'Ballot Entry'!I181,'Ballot Entry'!I181*-1)</f>
        <v>0</v>
      </c>
      <c r="P133" s="367">
        <f>IF('Ballot Entry'!H182="p",'Ballot Entry'!I182,'Ballot Entry'!I182*-1)</f>
        <v>0</v>
      </c>
      <c r="Q133" s="369">
        <f>IF('Ballot Entry'!H183="p",'Ballot Entry'!I183,'Ballot Entry'!I183*-1)</f>
        <v>0</v>
      </c>
      <c r="R133" s="57"/>
      <c r="S133" s="57"/>
      <c r="T133" s="57"/>
      <c r="U133" s="57"/>
      <c r="V133" s="57"/>
      <c r="W133" s="57"/>
      <c r="X133" s="57"/>
      <c r="Y133" s="57"/>
      <c r="Z133" s="57"/>
      <c r="AA133" s="57"/>
      <c r="AB133" s="57"/>
      <c r="AC133" s="57"/>
      <c r="AE133" s="57"/>
      <c r="AF133" s="57"/>
      <c r="AG133" s="57"/>
      <c r="AH133" s="57"/>
      <c r="AI133" s="57"/>
      <c r="AJ133" s="57"/>
      <c r="AK133" s="57"/>
      <c r="AL133" s="57"/>
      <c r="AM133" s="57"/>
      <c r="AP133" s="57"/>
      <c r="AQ133" s="57"/>
      <c r="AR133" s="57"/>
    </row>
    <row r="134" spans="1:44" x14ac:dyDescent="0.2">
      <c r="A134" s="61" t="str">
        <f>IF(Teams&gt;=18, "2", "Hide")</f>
        <v>2</v>
      </c>
      <c r="G134" s="68" t="s">
        <v>50</v>
      </c>
      <c r="H134" s="26" t="s">
        <v>33</v>
      </c>
      <c r="I134" s="243">
        <v>3</v>
      </c>
      <c r="K134" s="366">
        <f t="shared" si="22"/>
        <v>10</v>
      </c>
      <c r="L134" s="367">
        <f t="shared" si="23"/>
        <v>10</v>
      </c>
      <c r="M134" s="368">
        <f>IF(ISBLANK('Ballot Entry'!D184),9999,'Ballot Entry'!D184)</f>
        <v>9999</v>
      </c>
      <c r="N134" s="368">
        <f>IF(ISBLANK('Ballot Entry'!F184),9999,'Ballot Entry'!F184)</f>
        <v>9999</v>
      </c>
      <c r="O134" s="367">
        <f>IF('Ballot Entry'!H184="p",'Ballot Entry'!I184,'Ballot Entry'!I184*-1)</f>
        <v>0</v>
      </c>
      <c r="P134" s="367">
        <f>IF('Ballot Entry'!H185="p",'Ballot Entry'!I185,'Ballot Entry'!I185*-1)</f>
        <v>0</v>
      </c>
      <c r="Q134" s="369">
        <f>IF('Ballot Entry'!H186="p",'Ballot Entry'!I186,'Ballot Entry'!I186*-1)</f>
        <v>0</v>
      </c>
      <c r="R134" s="57"/>
      <c r="S134" s="57"/>
      <c r="T134" s="57"/>
      <c r="U134" s="57"/>
      <c r="V134" s="57"/>
      <c r="W134" s="57"/>
      <c r="X134" s="57"/>
      <c r="Y134" s="57"/>
      <c r="Z134" s="57"/>
      <c r="AA134" s="57"/>
      <c r="AB134" s="57"/>
      <c r="AC134" s="57"/>
      <c r="AE134" s="57"/>
      <c r="AF134" s="57"/>
      <c r="AG134" s="57"/>
      <c r="AH134" s="57"/>
      <c r="AI134" s="57"/>
      <c r="AJ134" s="57"/>
      <c r="AK134" s="57"/>
      <c r="AL134" s="57"/>
      <c r="AM134" s="57"/>
      <c r="AP134" s="57"/>
      <c r="AQ134" s="57"/>
      <c r="AR134" s="57"/>
    </row>
    <row r="135" spans="1:44" ht="13.5" thickBot="1" x14ac:dyDescent="0.25">
      <c r="A135" s="61" t="str">
        <f>IF(Teams&gt;=18, IF(Ballots = 3, "2", "Hide"), "Hide")</f>
        <v>Hide</v>
      </c>
      <c r="B135" s="386"/>
      <c r="C135" s="277"/>
      <c r="D135" s="278"/>
      <c r="E135" s="278"/>
      <c r="F135" s="75"/>
      <c r="G135" s="68" t="s">
        <v>51</v>
      </c>
      <c r="H135" s="27"/>
      <c r="I135" s="244"/>
      <c r="K135" s="366">
        <f t="shared" si="22"/>
        <v>10</v>
      </c>
      <c r="L135" s="367">
        <f t="shared" si="23"/>
        <v>10</v>
      </c>
      <c r="M135" s="368">
        <f>IF(ISBLANK('Ballot Entry'!D187),9999,'Ballot Entry'!D187)</f>
        <v>9999</v>
      </c>
      <c r="N135" s="368">
        <f>IF(ISBLANK('Ballot Entry'!F187),9999,'Ballot Entry'!F187)</f>
        <v>9999</v>
      </c>
      <c r="O135" s="367">
        <f>IF('Ballot Entry'!H187="p",'Ballot Entry'!I187,'Ballot Entry'!I187*-1)</f>
        <v>0</v>
      </c>
      <c r="P135" s="367">
        <f>IF('Ballot Entry'!H188="p",'Ballot Entry'!I188,'Ballot Entry'!I188*-1)</f>
        <v>0</v>
      </c>
      <c r="Q135" s="369">
        <f>IF('Ballot Entry'!H189="p",'Ballot Entry'!I189,'Ballot Entry'!I189*-1)</f>
        <v>0</v>
      </c>
      <c r="R135" s="57"/>
      <c r="S135" s="57"/>
      <c r="T135" s="57"/>
      <c r="U135" s="57"/>
      <c r="V135" s="57"/>
      <c r="W135" s="57"/>
      <c r="X135" s="57"/>
      <c r="Y135" s="57"/>
      <c r="Z135" s="57"/>
      <c r="AA135" s="57"/>
      <c r="AB135" s="57"/>
      <c r="AC135" s="57"/>
      <c r="AE135" s="57"/>
      <c r="AF135" s="57"/>
      <c r="AG135" s="57"/>
      <c r="AH135" s="57"/>
      <c r="AI135" s="57"/>
      <c r="AJ135" s="57"/>
      <c r="AK135" s="57"/>
      <c r="AL135" s="57"/>
      <c r="AM135" s="57"/>
      <c r="AP135" s="57"/>
      <c r="AQ135" s="57"/>
      <c r="AR135" s="57"/>
    </row>
    <row r="136" spans="1:44" ht="15" thickTop="1" x14ac:dyDescent="0.3">
      <c r="A136" s="62" t="str">
        <f>IF(Teams&gt;=20, "2", "Hide")</f>
        <v>Hide</v>
      </c>
      <c r="B136" s="387">
        <f>B30</f>
        <v>0</v>
      </c>
      <c r="C136" s="279" t="s">
        <v>220</v>
      </c>
      <c r="D136" s="280"/>
      <c r="E136" s="279" t="s">
        <v>221</v>
      </c>
      <c r="F136" s="76"/>
      <c r="G136" s="69" t="s">
        <v>49</v>
      </c>
      <c r="H136" s="28"/>
      <c r="I136" s="245"/>
      <c r="K136" s="366">
        <f t="shared" si="22"/>
        <v>10</v>
      </c>
      <c r="L136" s="367">
        <f t="shared" si="23"/>
        <v>10</v>
      </c>
      <c r="M136" s="368">
        <f>IF(ISBLANK('Ballot Entry'!D190),9999,'Ballot Entry'!D190)</f>
        <v>9999</v>
      </c>
      <c r="N136" s="368">
        <f>IF(ISBLANK('Ballot Entry'!F190),9999,'Ballot Entry'!F190)</f>
        <v>9999</v>
      </c>
      <c r="O136" s="367">
        <f>IF('Ballot Entry'!H190="p",'Ballot Entry'!I190,'Ballot Entry'!I190*-1)</f>
        <v>0</v>
      </c>
      <c r="P136" s="367">
        <f>IF('Ballot Entry'!H191="p",'Ballot Entry'!I191,'Ballot Entry'!I191*-1)</f>
        <v>0</v>
      </c>
      <c r="Q136" s="369">
        <f>IF('Ballot Entry'!H192="p",'Ballot Entry'!I192,'Ballot Entry'!I192*-1)</f>
        <v>0</v>
      </c>
      <c r="R136" s="57"/>
      <c r="S136" s="57"/>
      <c r="T136" s="57"/>
      <c r="U136" s="57"/>
      <c r="V136" s="57"/>
      <c r="W136" s="57"/>
      <c r="X136" s="57"/>
      <c r="Y136" s="57"/>
      <c r="Z136" s="57"/>
      <c r="AA136" s="57"/>
      <c r="AB136" s="57"/>
      <c r="AC136" s="57"/>
      <c r="AE136" s="57"/>
      <c r="AF136" s="57"/>
      <c r="AG136" s="57"/>
      <c r="AH136" s="57"/>
      <c r="AI136" s="57"/>
      <c r="AJ136" s="57"/>
      <c r="AK136" s="57"/>
      <c r="AL136" s="57"/>
      <c r="AM136" s="57"/>
      <c r="AP136" s="57"/>
      <c r="AQ136" s="57"/>
      <c r="AR136" s="57"/>
    </row>
    <row r="137" spans="1:44" x14ac:dyDescent="0.2">
      <c r="A137" s="63" t="str">
        <f>IF(Teams&gt;=20, "2", "Hide")</f>
        <v>Hide</v>
      </c>
      <c r="B137" s="386"/>
      <c r="G137" s="68" t="s">
        <v>50</v>
      </c>
      <c r="H137" s="29"/>
      <c r="I137" s="246"/>
      <c r="K137" s="366">
        <f t="shared" si="22"/>
        <v>10</v>
      </c>
      <c r="L137" s="367">
        <f t="shared" si="23"/>
        <v>10</v>
      </c>
      <c r="M137" s="368">
        <f>IF(ISBLANK('Ballot Entry'!D193),9999,'Ballot Entry'!D193)</f>
        <v>9999</v>
      </c>
      <c r="N137" s="368">
        <f>IF(ISBLANK('Ballot Entry'!F193),9999,'Ballot Entry'!F193)</f>
        <v>9999</v>
      </c>
      <c r="O137" s="367">
        <f>IF('Ballot Entry'!H193="p",'Ballot Entry'!I193,'Ballot Entry'!I193*-1)</f>
        <v>0</v>
      </c>
      <c r="P137" s="367">
        <f>IF('Ballot Entry'!H194="p",'Ballot Entry'!I194,'Ballot Entry'!I194*-1)</f>
        <v>0</v>
      </c>
      <c r="Q137" s="369">
        <f>IF('Ballot Entry'!H195="p",'Ballot Entry'!I195,'Ballot Entry'!I195*-1)</f>
        <v>0</v>
      </c>
      <c r="R137" s="57"/>
      <c r="S137" s="57"/>
      <c r="T137" s="57"/>
      <c r="U137" s="57"/>
      <c r="V137" s="57"/>
      <c r="W137" s="57"/>
      <c r="X137" s="57"/>
      <c r="Y137" s="57"/>
      <c r="Z137" s="57"/>
      <c r="AA137" s="57"/>
      <c r="AB137" s="57"/>
      <c r="AC137" s="57"/>
      <c r="AE137" s="57"/>
      <c r="AF137" s="57"/>
      <c r="AG137" s="57"/>
      <c r="AH137" s="57"/>
      <c r="AI137" s="57"/>
      <c r="AJ137" s="57"/>
      <c r="AK137" s="57"/>
      <c r="AL137" s="57"/>
      <c r="AM137" s="57"/>
      <c r="AP137" s="57"/>
      <c r="AQ137" s="57"/>
      <c r="AR137" s="57"/>
    </row>
    <row r="138" spans="1:44" ht="13.5" thickBot="1" x14ac:dyDescent="0.25">
      <c r="A138" s="64" t="str">
        <f>IF(Teams&gt;=20, IF(Ballots = 3, "2", "Hide"), "Hide")</f>
        <v>Hide</v>
      </c>
      <c r="B138" s="388"/>
      <c r="C138" s="281"/>
      <c r="D138" s="282"/>
      <c r="E138" s="282"/>
      <c r="F138" s="77"/>
      <c r="G138" s="70" t="s">
        <v>51</v>
      </c>
      <c r="H138" s="30"/>
      <c r="I138" s="247"/>
      <c r="K138" s="366">
        <f t="shared" si="22"/>
        <v>10</v>
      </c>
      <c r="L138" s="367">
        <f t="shared" si="23"/>
        <v>10</v>
      </c>
      <c r="M138" s="368">
        <f>IF(ISBLANK('Ballot Entry'!D196),9999,'Ballot Entry'!D196)</f>
        <v>9999</v>
      </c>
      <c r="N138" s="368">
        <f>IF(ISBLANK('Ballot Entry'!F196),9999,'Ballot Entry'!F196)</f>
        <v>9999</v>
      </c>
      <c r="O138" s="367">
        <f>IF('Ballot Entry'!H196="p",'Ballot Entry'!I196,'Ballot Entry'!I196*-1)</f>
        <v>0</v>
      </c>
      <c r="P138" s="367">
        <f>IF('Ballot Entry'!H197="p",'Ballot Entry'!I197,'Ballot Entry'!I197*-1)</f>
        <v>0</v>
      </c>
      <c r="Q138" s="369">
        <f>IF('Ballot Entry'!H198="p",'Ballot Entry'!I198,'Ballot Entry'!I198*-1)</f>
        <v>0</v>
      </c>
      <c r="R138" s="57"/>
      <c r="S138" s="57"/>
      <c r="T138" s="57"/>
      <c r="U138" s="57"/>
      <c r="V138" s="57"/>
      <c r="W138" s="57"/>
      <c r="X138" s="57"/>
      <c r="Y138" s="57"/>
      <c r="Z138" s="57"/>
      <c r="AA138" s="57"/>
      <c r="AB138" s="57"/>
      <c r="AC138" s="57"/>
      <c r="AE138" s="57"/>
      <c r="AF138" s="57"/>
      <c r="AG138" s="57"/>
      <c r="AH138" s="57"/>
      <c r="AI138" s="57"/>
      <c r="AJ138" s="57"/>
      <c r="AK138" s="57"/>
      <c r="AL138" s="57"/>
      <c r="AM138" s="57"/>
      <c r="AP138" s="57"/>
      <c r="AQ138" s="57"/>
      <c r="AR138" s="57"/>
    </row>
    <row r="139" spans="1:44" ht="15" thickTop="1" x14ac:dyDescent="0.3">
      <c r="A139" s="60" t="str">
        <f>IF(Teams&gt;=22, "2", "Hide")</f>
        <v>Hide</v>
      </c>
      <c r="B139" s="384">
        <f>B33</f>
        <v>0</v>
      </c>
      <c r="C139" s="276" t="s">
        <v>220</v>
      </c>
      <c r="D139" s="384"/>
      <c r="E139" s="276" t="s">
        <v>221</v>
      </c>
      <c r="F139" s="74"/>
      <c r="G139" s="67" t="s">
        <v>49</v>
      </c>
      <c r="H139" s="25"/>
      <c r="I139" s="242"/>
      <c r="K139" s="366">
        <f t="shared" si="22"/>
        <v>10</v>
      </c>
      <c r="L139" s="367">
        <f t="shared" si="23"/>
        <v>10</v>
      </c>
      <c r="M139" s="368">
        <f>IF(ISBLANK('Ballot Entry'!D199),9999,'Ballot Entry'!D199)</f>
        <v>9999</v>
      </c>
      <c r="N139" s="368">
        <f>IF(ISBLANK('Ballot Entry'!F199),9999,'Ballot Entry'!F199)</f>
        <v>9999</v>
      </c>
      <c r="O139" s="367">
        <f>IF('Ballot Entry'!H199="p",'Ballot Entry'!I199,'Ballot Entry'!I199*-1)</f>
        <v>0</v>
      </c>
      <c r="P139" s="367">
        <f>IF('Ballot Entry'!H200="p",'Ballot Entry'!I200,'Ballot Entry'!I200*-1)</f>
        <v>0</v>
      </c>
      <c r="Q139" s="369">
        <f>IF('Ballot Entry'!H201="p",'Ballot Entry'!I201,'Ballot Entry'!I201*-1)</f>
        <v>0</v>
      </c>
      <c r="R139" s="57"/>
      <c r="S139" s="57"/>
      <c r="T139" s="57"/>
      <c r="U139" s="57"/>
      <c r="V139" s="57"/>
      <c r="W139" s="57"/>
      <c r="X139" s="57"/>
      <c r="Y139" s="57"/>
      <c r="Z139" s="57"/>
      <c r="AA139" s="57"/>
      <c r="AB139" s="57"/>
      <c r="AC139" s="57"/>
      <c r="AE139" s="57"/>
      <c r="AF139" s="57"/>
      <c r="AG139" s="57"/>
      <c r="AH139" s="57"/>
      <c r="AI139" s="57"/>
      <c r="AJ139" s="57"/>
      <c r="AK139" s="57"/>
      <c r="AL139" s="57"/>
      <c r="AM139" s="57"/>
      <c r="AP139" s="57"/>
      <c r="AQ139" s="57"/>
      <c r="AR139" s="57"/>
    </row>
    <row r="140" spans="1:44" x14ac:dyDescent="0.2">
      <c r="A140" s="61" t="str">
        <f>IF(Teams&gt;=22, "2", "Hide")</f>
        <v>Hide</v>
      </c>
      <c r="G140" s="68" t="s">
        <v>50</v>
      </c>
      <c r="H140" s="26"/>
      <c r="I140" s="243"/>
      <c r="K140" s="366">
        <f t="shared" si="22"/>
        <v>10</v>
      </c>
      <c r="L140" s="367">
        <f t="shared" si="23"/>
        <v>10</v>
      </c>
      <c r="M140" s="368">
        <f>IF(ISBLANK('Ballot Entry'!D202),9999,'Ballot Entry'!D202)</f>
        <v>9999</v>
      </c>
      <c r="N140" s="368">
        <f>IF(ISBLANK('Ballot Entry'!F202),9999,'Ballot Entry'!F202)</f>
        <v>9999</v>
      </c>
      <c r="O140" s="367">
        <f>IF('Ballot Entry'!H202="p",'Ballot Entry'!I202,'Ballot Entry'!I202*-1)</f>
        <v>0</v>
      </c>
      <c r="P140" s="367">
        <f>IF('Ballot Entry'!H203="p",'Ballot Entry'!I203,'Ballot Entry'!I203*-1)</f>
        <v>0</v>
      </c>
      <c r="Q140" s="369">
        <f>IF('Ballot Entry'!H204="p",'Ballot Entry'!I204,'Ballot Entry'!I204*-1)</f>
        <v>0</v>
      </c>
      <c r="R140" s="57"/>
      <c r="S140" s="57"/>
      <c r="T140" s="57"/>
      <c r="U140" s="57"/>
      <c r="V140" s="57"/>
      <c r="W140" s="57"/>
      <c r="X140" s="57"/>
      <c r="Y140" s="57"/>
      <c r="Z140" s="57"/>
      <c r="AA140" s="57"/>
      <c r="AB140" s="57"/>
      <c r="AC140" s="57"/>
      <c r="AE140" s="57"/>
      <c r="AF140" s="57"/>
      <c r="AG140" s="57"/>
      <c r="AH140" s="57"/>
      <c r="AI140" s="57"/>
      <c r="AJ140" s="57"/>
      <c r="AK140" s="57"/>
      <c r="AL140" s="57"/>
      <c r="AM140" s="57"/>
      <c r="AP140" s="57"/>
      <c r="AQ140" s="57"/>
      <c r="AR140" s="57"/>
    </row>
    <row r="141" spans="1:44" ht="13.5" thickBot="1" x14ac:dyDescent="0.25">
      <c r="A141" s="61" t="str">
        <f>IF(Teams&gt;=22, IF(Ballots = 3, "2", "Hide"), "Hide")</f>
        <v>Hide</v>
      </c>
      <c r="B141" s="386"/>
      <c r="C141" s="277"/>
      <c r="D141" s="278"/>
      <c r="E141" s="278"/>
      <c r="F141" s="75"/>
      <c r="G141" s="68" t="s">
        <v>51</v>
      </c>
      <c r="H141" s="27"/>
      <c r="I141" s="244"/>
      <c r="K141" s="366">
        <f t="shared" si="22"/>
        <v>10</v>
      </c>
      <c r="L141" s="367">
        <f t="shared" si="23"/>
        <v>10</v>
      </c>
      <c r="M141" s="368">
        <f>IF(ISBLANK('Ballot Entry'!D205),9999,'Ballot Entry'!D205)</f>
        <v>9999</v>
      </c>
      <c r="N141" s="368">
        <f>IF(ISBLANK('Ballot Entry'!F205),9999,'Ballot Entry'!F205)</f>
        <v>9999</v>
      </c>
      <c r="O141" s="367">
        <f>IF('Ballot Entry'!H205="p",'Ballot Entry'!I205,'Ballot Entry'!I205*-1)</f>
        <v>0</v>
      </c>
      <c r="P141" s="367">
        <f>IF('Ballot Entry'!H206="p",'Ballot Entry'!I206,'Ballot Entry'!I206*-1)</f>
        <v>0</v>
      </c>
      <c r="Q141" s="369">
        <f>IF('Ballot Entry'!H207="p",'Ballot Entry'!I207,'Ballot Entry'!I207*-1)</f>
        <v>0</v>
      </c>
      <c r="R141" s="57"/>
      <c r="S141" s="57"/>
      <c r="T141" s="57"/>
      <c r="U141" s="57"/>
      <c r="V141" s="57"/>
      <c r="W141" s="57"/>
      <c r="X141" s="57"/>
      <c r="Y141" s="57"/>
      <c r="Z141" s="57"/>
      <c r="AA141" s="57"/>
      <c r="AB141" s="57"/>
      <c r="AC141" s="57"/>
      <c r="AE141" s="57"/>
      <c r="AF141" s="57"/>
      <c r="AG141" s="57"/>
      <c r="AH141" s="57"/>
      <c r="AI141" s="57"/>
      <c r="AJ141" s="57"/>
      <c r="AK141" s="57"/>
      <c r="AL141" s="57"/>
      <c r="AM141" s="57"/>
      <c r="AP141" s="57"/>
      <c r="AQ141" s="57"/>
      <c r="AR141" s="57"/>
    </row>
    <row r="142" spans="1:44" ht="15" thickTop="1" x14ac:dyDescent="0.3">
      <c r="A142" s="62" t="str">
        <f>IF(Teams&gt;=24, "2", "Hide")</f>
        <v>Hide</v>
      </c>
      <c r="B142" s="387">
        <f>B36</f>
        <v>0</v>
      </c>
      <c r="C142" s="279" t="s">
        <v>220</v>
      </c>
      <c r="D142" s="280"/>
      <c r="E142" s="279" t="s">
        <v>221</v>
      </c>
      <c r="F142" s="76"/>
      <c r="G142" s="69" t="s">
        <v>49</v>
      </c>
      <c r="H142" s="28"/>
      <c r="I142" s="245"/>
      <c r="K142" s="366">
        <f t="shared" si="22"/>
        <v>10</v>
      </c>
      <c r="L142" s="367">
        <f t="shared" si="23"/>
        <v>10</v>
      </c>
      <c r="M142" s="368">
        <f>IF(ISBLANK('Ballot Entry'!D208),9999,'Ballot Entry'!D208)</f>
        <v>9999</v>
      </c>
      <c r="N142" s="368">
        <f>IF(ISBLANK('Ballot Entry'!F208),9999,'Ballot Entry'!F208)</f>
        <v>9999</v>
      </c>
      <c r="O142" s="367">
        <f>IF('Ballot Entry'!H208="p",'Ballot Entry'!I208,'Ballot Entry'!I208*-1)</f>
        <v>0</v>
      </c>
      <c r="P142" s="367">
        <f>IF('Ballot Entry'!H209="p",'Ballot Entry'!I209,'Ballot Entry'!I209*-1)</f>
        <v>0</v>
      </c>
      <c r="Q142" s="369">
        <f>IF('Ballot Entry'!H210="p",'Ballot Entry'!I210,'Ballot Entry'!I210*-1)</f>
        <v>0</v>
      </c>
      <c r="R142" s="57"/>
      <c r="S142" s="57"/>
      <c r="T142" s="57"/>
      <c r="U142" s="57"/>
      <c r="V142" s="57"/>
      <c r="W142" s="57"/>
      <c r="X142" s="57"/>
      <c r="Y142" s="57"/>
      <c r="Z142" s="57"/>
      <c r="AA142" s="57"/>
      <c r="AB142" s="57"/>
      <c r="AC142" s="57"/>
      <c r="AE142" s="57"/>
      <c r="AF142" s="57"/>
      <c r="AG142" s="57"/>
      <c r="AH142" s="57"/>
      <c r="AI142" s="57"/>
      <c r="AJ142" s="57"/>
      <c r="AK142" s="57"/>
      <c r="AL142" s="57"/>
      <c r="AM142" s="57"/>
      <c r="AP142" s="57"/>
      <c r="AQ142" s="57"/>
      <c r="AR142" s="57"/>
    </row>
    <row r="143" spans="1:44" x14ac:dyDescent="0.2">
      <c r="A143" s="63" t="str">
        <f>IF(Teams&gt;=24, "2", "Hide")</f>
        <v>Hide</v>
      </c>
      <c r="B143" s="386"/>
      <c r="G143" s="68" t="s">
        <v>50</v>
      </c>
      <c r="H143" s="29"/>
      <c r="I143" s="246"/>
      <c r="K143" s="375">
        <f t="shared" si="22"/>
        <v>10</v>
      </c>
      <c r="L143" s="376">
        <f t="shared" si="23"/>
        <v>10</v>
      </c>
      <c r="M143" s="377">
        <f>IF(ISBLANK('Ballot Entry'!D211),9999,'Ballot Entry'!D211)</f>
        <v>9999</v>
      </c>
      <c r="N143" s="377">
        <f>IF(ISBLANK('Ballot Entry'!F211),9999,'Ballot Entry'!F211)</f>
        <v>9999</v>
      </c>
      <c r="O143" s="376">
        <f>IF('Ballot Entry'!H211="p",'Ballot Entry'!I211,'Ballot Entry'!I211*-1)</f>
        <v>0</v>
      </c>
      <c r="P143" s="376">
        <f>IF('Ballot Entry'!H212="p",'Ballot Entry'!I212,'Ballot Entry'!I212*-1)</f>
        <v>0</v>
      </c>
      <c r="Q143" s="381">
        <f>IF('Ballot Entry'!H213="p",'Ballot Entry'!I213,'Ballot Entry'!I213*-1)</f>
        <v>0</v>
      </c>
      <c r="R143" s="57"/>
      <c r="S143" s="57"/>
      <c r="T143" s="57"/>
      <c r="U143" s="57"/>
      <c r="V143" s="57"/>
      <c r="W143" s="57"/>
      <c r="X143" s="57"/>
      <c r="Y143" s="57"/>
      <c r="Z143" s="57"/>
      <c r="AA143" s="57"/>
      <c r="AB143" s="57"/>
      <c r="AC143" s="57"/>
      <c r="AE143" s="57"/>
      <c r="AF143" s="57"/>
      <c r="AG143" s="57"/>
      <c r="AH143" s="57"/>
      <c r="AI143" s="57"/>
      <c r="AJ143" s="57"/>
      <c r="AK143" s="57"/>
      <c r="AL143" s="57"/>
      <c r="AM143" s="57"/>
      <c r="AP143" s="57"/>
      <c r="AQ143" s="57"/>
      <c r="AR143" s="57"/>
    </row>
    <row r="144" spans="1:44" ht="13.5" thickBot="1" x14ac:dyDescent="0.25">
      <c r="A144" s="64" t="str">
        <f>IF(Teams&gt;=24, IF(Ballots = 3, "2", "Hide"), "Hide")</f>
        <v>Hide</v>
      </c>
      <c r="B144" s="388"/>
      <c r="C144" s="281"/>
      <c r="D144" s="282"/>
      <c r="E144" s="282"/>
      <c r="F144" s="77"/>
      <c r="G144" s="70" t="s">
        <v>51</v>
      </c>
      <c r="H144" s="30"/>
      <c r="I144" s="247"/>
      <c r="K144" s="370">
        <v>1</v>
      </c>
      <c r="L144" s="371">
        <f>MATCH(K144,'Ballot Entry'!$K$109:$K$143,0)</f>
        <v>3</v>
      </c>
      <c r="M144" s="372">
        <f t="shared" ref="M144:M178" si="24">INDEX(Round2,L144,3)</f>
        <v>1001</v>
      </c>
      <c r="N144" s="372">
        <f t="shared" ref="N144:N178" si="25">INDEX(Round2,$L144,4)</f>
        <v>1258</v>
      </c>
      <c r="O144" s="372">
        <f t="shared" ref="O144:O178" si="26">INDEX(Round2,$L144,5)</f>
        <v>2</v>
      </c>
      <c r="P144" s="372">
        <f t="shared" ref="P144:P178" si="27">INDEX(Round2,$L144,6)</f>
        <v>12</v>
      </c>
      <c r="Q144" s="373">
        <f t="shared" ref="Q144:Q178" si="28">INDEX(Round2,$L144,7)</f>
        <v>0</v>
      </c>
      <c r="R144" s="57"/>
      <c r="S144" s="57"/>
      <c r="T144" s="57"/>
      <c r="U144" s="57"/>
      <c r="V144" s="57"/>
      <c r="W144" s="57"/>
      <c r="X144" s="57"/>
      <c r="Y144" s="57"/>
      <c r="Z144" s="57"/>
      <c r="AA144" s="57"/>
      <c r="AB144" s="57"/>
      <c r="AC144" s="57"/>
      <c r="AE144" s="57"/>
      <c r="AF144" s="57"/>
      <c r="AG144" s="57"/>
      <c r="AH144" s="57"/>
      <c r="AI144" s="57"/>
      <c r="AJ144" s="57"/>
      <c r="AK144" s="57"/>
      <c r="AL144" s="57"/>
      <c r="AM144" s="57"/>
      <c r="AP144" s="57"/>
      <c r="AQ144" s="57"/>
      <c r="AR144" s="57"/>
    </row>
    <row r="145" spans="1:44" ht="15" thickTop="1" x14ac:dyDescent="0.3">
      <c r="A145" s="60" t="str">
        <f>IF(Teams&gt;=26, "2", "Hide")</f>
        <v>Hide</v>
      </c>
      <c r="B145" s="384">
        <f>B39</f>
        <v>0</v>
      </c>
      <c r="C145" s="276" t="s">
        <v>220</v>
      </c>
      <c r="D145" s="384"/>
      <c r="E145" s="276" t="s">
        <v>221</v>
      </c>
      <c r="F145" s="74"/>
      <c r="G145" s="67" t="s">
        <v>49</v>
      </c>
      <c r="H145" s="25"/>
      <c r="I145" s="242"/>
      <c r="K145" s="366">
        <v>2</v>
      </c>
      <c r="L145" s="367">
        <f>MATCH(K145,'Ballot Entry'!$K$109:$K$143,0)</f>
        <v>8</v>
      </c>
      <c r="M145" s="368">
        <f t="shared" si="24"/>
        <v>1051</v>
      </c>
      <c r="N145" s="368">
        <f t="shared" si="25"/>
        <v>1577</v>
      </c>
      <c r="O145" s="368">
        <f t="shared" si="26"/>
        <v>-6</v>
      </c>
      <c r="P145" s="368">
        <f t="shared" si="27"/>
        <v>-13</v>
      </c>
      <c r="Q145" s="374">
        <f t="shared" si="28"/>
        <v>0</v>
      </c>
      <c r="R145" s="57"/>
      <c r="S145" s="57"/>
      <c r="T145" s="57"/>
      <c r="U145" s="57"/>
      <c r="V145" s="57"/>
      <c r="W145" s="57"/>
      <c r="X145" s="57"/>
      <c r="Y145" s="57"/>
      <c r="Z145" s="57"/>
      <c r="AA145" s="57"/>
      <c r="AB145" s="57"/>
      <c r="AC145" s="57"/>
      <c r="AE145" s="57"/>
      <c r="AF145" s="57"/>
      <c r="AG145" s="57"/>
      <c r="AH145" s="57"/>
      <c r="AI145" s="57"/>
      <c r="AJ145" s="57"/>
      <c r="AK145" s="57"/>
      <c r="AL145" s="57"/>
      <c r="AM145" s="57"/>
      <c r="AP145" s="57"/>
      <c r="AQ145" s="57"/>
      <c r="AR145" s="57"/>
    </row>
    <row r="146" spans="1:44" x14ac:dyDescent="0.2">
      <c r="A146" s="61" t="str">
        <f>IF(Teams&gt;=26, "2", "Hide")</f>
        <v>Hide</v>
      </c>
      <c r="G146" s="68" t="s">
        <v>50</v>
      </c>
      <c r="H146" s="26"/>
      <c r="I146" s="243"/>
      <c r="K146" s="366">
        <v>3</v>
      </c>
      <c r="L146" s="367">
        <f>MATCH(K146,'Ballot Entry'!$K$109:$K$143,0)</f>
        <v>9</v>
      </c>
      <c r="M146" s="368">
        <f t="shared" si="24"/>
        <v>1078</v>
      </c>
      <c r="N146" s="368">
        <f t="shared" si="25"/>
        <v>1506</v>
      </c>
      <c r="O146" s="368">
        <f t="shared" si="26"/>
        <v>-4</v>
      </c>
      <c r="P146" s="368">
        <f t="shared" si="27"/>
        <v>3</v>
      </c>
      <c r="Q146" s="374">
        <f t="shared" si="28"/>
        <v>0</v>
      </c>
      <c r="R146" s="57"/>
      <c r="S146" s="57"/>
      <c r="T146" s="57"/>
      <c r="U146" s="57"/>
      <c r="V146" s="57"/>
      <c r="W146" s="57"/>
      <c r="X146" s="57"/>
      <c r="Y146" s="57"/>
      <c r="Z146" s="57"/>
      <c r="AA146" s="57"/>
      <c r="AB146" s="57"/>
      <c r="AC146" s="57"/>
      <c r="AE146" s="57"/>
      <c r="AF146" s="57"/>
      <c r="AG146" s="57"/>
      <c r="AH146" s="57"/>
      <c r="AI146" s="57"/>
      <c r="AJ146" s="57"/>
      <c r="AK146" s="57"/>
      <c r="AL146" s="57"/>
      <c r="AM146" s="57"/>
      <c r="AP146" s="57"/>
      <c r="AQ146" s="57"/>
      <c r="AR146" s="57"/>
    </row>
    <row r="147" spans="1:44" ht="13.5" thickBot="1" x14ac:dyDescent="0.25">
      <c r="A147" s="61" t="str">
        <f>IF(Teams&gt;=26, IF(Ballots = 3, "2", "Hide"), "Hide")</f>
        <v>Hide</v>
      </c>
      <c r="B147" s="386"/>
      <c r="C147" s="277"/>
      <c r="D147" s="278"/>
      <c r="E147" s="278"/>
      <c r="F147" s="75"/>
      <c r="G147" s="68" t="s">
        <v>51</v>
      </c>
      <c r="H147" s="27"/>
      <c r="I147" s="244"/>
      <c r="K147" s="366">
        <v>4</v>
      </c>
      <c r="L147" s="367">
        <f>MATCH(K147,'Ballot Entry'!$K$109:$K$143,0)</f>
        <v>6</v>
      </c>
      <c r="M147" s="368">
        <f t="shared" si="24"/>
        <v>1217</v>
      </c>
      <c r="N147" s="368">
        <f t="shared" si="25"/>
        <v>1029</v>
      </c>
      <c r="O147" s="368">
        <f t="shared" si="26"/>
        <v>-6</v>
      </c>
      <c r="P147" s="368">
        <f t="shared" si="27"/>
        <v>-3</v>
      </c>
      <c r="Q147" s="374">
        <f t="shared" si="28"/>
        <v>0</v>
      </c>
      <c r="R147" s="57"/>
      <c r="S147" s="57"/>
      <c r="T147" s="57"/>
      <c r="U147" s="57"/>
      <c r="V147" s="57"/>
      <c r="W147" s="57"/>
      <c r="X147" s="57"/>
      <c r="Y147" s="57"/>
      <c r="Z147" s="57"/>
      <c r="AA147" s="57"/>
      <c r="AB147" s="57"/>
      <c r="AC147" s="57"/>
      <c r="AE147" s="57"/>
      <c r="AF147" s="57"/>
      <c r="AG147" s="57"/>
      <c r="AH147" s="57"/>
      <c r="AI147" s="57"/>
      <c r="AJ147" s="57"/>
      <c r="AK147" s="57"/>
      <c r="AL147" s="57"/>
      <c r="AM147" s="57"/>
      <c r="AP147" s="57"/>
      <c r="AQ147" s="57"/>
      <c r="AR147" s="57"/>
    </row>
    <row r="148" spans="1:44" ht="15" thickTop="1" x14ac:dyDescent="0.3">
      <c r="A148" s="62" t="str">
        <f>IF(Teams&gt;=28, "2", "Hide")</f>
        <v>Hide</v>
      </c>
      <c r="B148" s="387">
        <f>B42</f>
        <v>0</v>
      </c>
      <c r="C148" s="279" t="s">
        <v>220</v>
      </c>
      <c r="D148" s="280"/>
      <c r="E148" s="279" t="s">
        <v>221</v>
      </c>
      <c r="F148" s="76"/>
      <c r="G148" s="69" t="s">
        <v>49</v>
      </c>
      <c r="H148" s="28"/>
      <c r="I148" s="245"/>
      <c r="K148" s="366">
        <v>5</v>
      </c>
      <c r="L148" s="367">
        <f>MATCH(K148,'Ballot Entry'!$K$109:$K$143,0)</f>
        <v>5</v>
      </c>
      <c r="M148" s="368">
        <f t="shared" si="24"/>
        <v>1224</v>
      </c>
      <c r="N148" s="368">
        <f t="shared" si="25"/>
        <v>1268</v>
      </c>
      <c r="O148" s="368">
        <f t="shared" si="26"/>
        <v>4</v>
      </c>
      <c r="P148" s="368">
        <f t="shared" si="27"/>
        <v>-11</v>
      </c>
      <c r="Q148" s="374">
        <f t="shared" si="28"/>
        <v>0</v>
      </c>
      <c r="R148" s="57"/>
      <c r="S148" s="57"/>
      <c r="T148" s="57"/>
      <c r="U148" s="57"/>
      <c r="V148" s="57"/>
      <c r="W148" s="57"/>
      <c r="X148" s="57"/>
      <c r="Y148" s="57"/>
      <c r="Z148" s="57"/>
      <c r="AA148" s="57"/>
      <c r="AB148" s="57"/>
      <c r="AC148" s="57"/>
      <c r="AD148" s="360"/>
      <c r="AE148" s="57"/>
      <c r="AF148" s="57"/>
      <c r="AG148" s="57"/>
      <c r="AH148" s="57"/>
      <c r="AI148" s="57"/>
      <c r="AJ148" s="57"/>
      <c r="AK148" s="57"/>
      <c r="AL148" s="57"/>
      <c r="AM148" s="57"/>
      <c r="AP148" s="57"/>
      <c r="AQ148" s="57"/>
      <c r="AR148" s="57"/>
    </row>
    <row r="149" spans="1:44" x14ac:dyDescent="0.2">
      <c r="A149" s="63" t="str">
        <f>IF(Teams&gt;=28, "2", "Hide")</f>
        <v>Hide</v>
      </c>
      <c r="B149" s="386"/>
      <c r="G149" s="68" t="s">
        <v>50</v>
      </c>
      <c r="H149" s="29"/>
      <c r="I149" s="246"/>
      <c r="K149" s="366">
        <v>6</v>
      </c>
      <c r="L149" s="367">
        <f>MATCH(K149,'Ballot Entry'!$K$109:$K$143,0)</f>
        <v>4</v>
      </c>
      <c r="M149" s="368">
        <f t="shared" si="24"/>
        <v>1492</v>
      </c>
      <c r="N149" s="368">
        <f t="shared" si="25"/>
        <v>1557</v>
      </c>
      <c r="O149" s="368">
        <f t="shared" si="26"/>
        <v>-11</v>
      </c>
      <c r="P149" s="368">
        <f t="shared" si="27"/>
        <v>3</v>
      </c>
      <c r="Q149" s="374">
        <f t="shared" si="28"/>
        <v>0</v>
      </c>
      <c r="R149" s="57"/>
      <c r="S149" s="57"/>
      <c r="T149" s="57"/>
      <c r="U149" s="57"/>
      <c r="V149" s="57"/>
      <c r="W149" s="57"/>
      <c r="X149" s="57"/>
      <c r="Y149" s="57"/>
      <c r="Z149" s="57"/>
      <c r="AA149" s="57"/>
      <c r="AB149" s="57"/>
      <c r="AC149" s="57"/>
      <c r="AE149" s="57"/>
      <c r="AF149" s="57"/>
      <c r="AG149" s="57"/>
      <c r="AH149" s="57"/>
      <c r="AI149" s="57"/>
      <c r="AJ149" s="57"/>
      <c r="AK149" s="57"/>
      <c r="AL149" s="57"/>
      <c r="AM149" s="57"/>
      <c r="AP149" s="57"/>
      <c r="AQ149" s="57"/>
      <c r="AR149" s="57"/>
    </row>
    <row r="150" spans="1:44" ht="13.5" thickBot="1" x14ac:dyDescent="0.25">
      <c r="A150" s="64" t="str">
        <f>IF(Teams&gt;=28, IF(Ballots = 3, "2", "Hide"), "Hide")</f>
        <v>Hide</v>
      </c>
      <c r="B150" s="388"/>
      <c r="C150" s="281"/>
      <c r="D150" s="282"/>
      <c r="E150" s="282"/>
      <c r="F150" s="77"/>
      <c r="G150" s="70" t="s">
        <v>51</v>
      </c>
      <c r="H150" s="30"/>
      <c r="I150" s="247"/>
      <c r="K150" s="366">
        <v>7</v>
      </c>
      <c r="L150" s="367">
        <f>MATCH(K150,'Ballot Entry'!$K$109:$K$143,0)</f>
        <v>1</v>
      </c>
      <c r="M150" s="368">
        <f t="shared" si="24"/>
        <v>1517</v>
      </c>
      <c r="N150" s="368">
        <f t="shared" si="25"/>
        <v>1489</v>
      </c>
      <c r="O150" s="368">
        <f t="shared" si="26"/>
        <v>3</v>
      </c>
      <c r="P150" s="368">
        <f t="shared" si="27"/>
        <v>4</v>
      </c>
      <c r="Q150" s="374">
        <f t="shared" si="28"/>
        <v>0</v>
      </c>
      <c r="R150" s="57"/>
      <c r="S150" s="57"/>
      <c r="T150" s="57"/>
      <c r="U150" s="57"/>
      <c r="V150" s="57"/>
      <c r="W150" s="57"/>
      <c r="X150" s="57"/>
      <c r="Y150" s="57"/>
      <c r="Z150" s="57"/>
      <c r="AA150" s="57"/>
      <c r="AB150" s="57"/>
      <c r="AC150" s="57"/>
      <c r="AD150" s="361"/>
      <c r="AE150" s="57"/>
      <c r="AF150" s="57"/>
      <c r="AG150" s="57"/>
      <c r="AH150" s="57"/>
      <c r="AI150" s="57"/>
      <c r="AJ150" s="57"/>
      <c r="AK150" s="57"/>
      <c r="AL150" s="57"/>
      <c r="AM150" s="57"/>
      <c r="AP150" s="57"/>
      <c r="AQ150" s="57"/>
      <c r="AR150" s="57"/>
    </row>
    <row r="151" spans="1:44" ht="15" thickTop="1" x14ac:dyDescent="0.3">
      <c r="A151" s="60" t="str">
        <f>IF(Teams&gt;=30, "2", "Hide")</f>
        <v>Hide</v>
      </c>
      <c r="B151" s="384">
        <f>B45</f>
        <v>0</v>
      </c>
      <c r="C151" s="276" t="s">
        <v>220</v>
      </c>
      <c r="D151" s="384"/>
      <c r="E151" s="276" t="s">
        <v>221</v>
      </c>
      <c r="F151" s="74"/>
      <c r="G151" s="67" t="s">
        <v>49</v>
      </c>
      <c r="H151" s="25"/>
      <c r="I151" s="242"/>
      <c r="K151" s="366">
        <v>8</v>
      </c>
      <c r="L151" s="367">
        <f>MATCH(K151,'Ballot Entry'!$K$109:$K$143,0)</f>
        <v>7</v>
      </c>
      <c r="M151" s="368">
        <f t="shared" si="24"/>
        <v>1616</v>
      </c>
      <c r="N151" s="368">
        <f t="shared" si="25"/>
        <v>1262</v>
      </c>
      <c r="O151" s="368">
        <f t="shared" si="26"/>
        <v>1</v>
      </c>
      <c r="P151" s="368">
        <f t="shared" si="27"/>
        <v>0</v>
      </c>
      <c r="Q151" s="374">
        <f t="shared" si="28"/>
        <v>0</v>
      </c>
      <c r="R151" s="57"/>
      <c r="S151" s="57"/>
      <c r="T151" s="57"/>
      <c r="U151" s="57"/>
      <c r="V151" s="57"/>
      <c r="W151" s="57"/>
      <c r="X151" s="57"/>
      <c r="Y151" s="57"/>
      <c r="Z151" s="57"/>
      <c r="AA151" s="57"/>
      <c r="AB151" s="57"/>
      <c r="AC151" s="57"/>
      <c r="AD151" s="361"/>
      <c r="AE151" s="57"/>
      <c r="AF151" s="57"/>
      <c r="AG151" s="57"/>
      <c r="AH151" s="57"/>
      <c r="AI151" s="57"/>
      <c r="AJ151" s="57"/>
      <c r="AK151" s="57"/>
      <c r="AL151" s="57"/>
      <c r="AM151" s="57"/>
      <c r="AP151" s="57"/>
      <c r="AQ151" s="57"/>
      <c r="AR151" s="57"/>
    </row>
    <row r="152" spans="1:44" x14ac:dyDescent="0.2">
      <c r="A152" s="61" t="str">
        <f>IF(Teams&gt;=30, "2", "Hide")</f>
        <v>Hide</v>
      </c>
      <c r="G152" s="68" t="s">
        <v>50</v>
      </c>
      <c r="H152" s="26"/>
      <c r="I152" s="243"/>
      <c r="K152" s="366">
        <v>9</v>
      </c>
      <c r="L152" s="367">
        <f>MATCH(K152,'Ballot Entry'!$K$109:$K$143,0)</f>
        <v>2</v>
      </c>
      <c r="M152" s="368">
        <f t="shared" si="24"/>
        <v>1693</v>
      </c>
      <c r="N152" s="368">
        <f t="shared" si="25"/>
        <v>1410</v>
      </c>
      <c r="O152" s="368">
        <f t="shared" si="26"/>
        <v>1</v>
      </c>
      <c r="P152" s="368">
        <f t="shared" si="27"/>
        <v>8</v>
      </c>
      <c r="Q152" s="374">
        <f t="shared" si="28"/>
        <v>0</v>
      </c>
      <c r="R152" s="57"/>
      <c r="S152" s="57"/>
      <c r="T152" s="57"/>
      <c r="U152" s="57"/>
      <c r="V152" s="57"/>
      <c r="W152" s="57"/>
      <c r="X152" s="57"/>
      <c r="Y152" s="57"/>
      <c r="Z152" s="57"/>
      <c r="AA152" s="57"/>
      <c r="AB152" s="57"/>
      <c r="AC152" s="57"/>
      <c r="AD152" s="361"/>
      <c r="AE152" s="57"/>
      <c r="AF152" s="57"/>
      <c r="AG152" s="57"/>
      <c r="AH152" s="57"/>
      <c r="AI152" s="57"/>
      <c r="AJ152" s="57"/>
      <c r="AK152" s="57"/>
      <c r="AL152" s="57"/>
      <c r="AM152" s="57"/>
      <c r="AP152" s="57"/>
      <c r="AQ152" s="57"/>
      <c r="AR152" s="57"/>
    </row>
    <row r="153" spans="1:44" ht="13.5" thickBot="1" x14ac:dyDescent="0.25">
      <c r="A153" s="61" t="str">
        <f>IF(Teams&gt;=30, IF(Ballots = 3, "2", "Hide"), "Hide")</f>
        <v>Hide</v>
      </c>
      <c r="B153" s="386"/>
      <c r="C153" s="277"/>
      <c r="D153" s="278"/>
      <c r="E153" s="278"/>
      <c r="F153" s="75"/>
      <c r="G153" s="68" t="s">
        <v>51</v>
      </c>
      <c r="H153" s="27"/>
      <c r="I153" s="244"/>
      <c r="K153" s="366">
        <v>10</v>
      </c>
      <c r="L153" s="367">
        <f>MATCH(K153,'Ballot Entry'!$K$109:$K$143,0)</f>
        <v>10</v>
      </c>
      <c r="M153" s="368">
        <f t="shared" si="24"/>
        <v>9999</v>
      </c>
      <c r="N153" s="368">
        <f t="shared" si="25"/>
        <v>9999</v>
      </c>
      <c r="O153" s="368">
        <f t="shared" si="26"/>
        <v>0</v>
      </c>
      <c r="P153" s="368">
        <f t="shared" si="27"/>
        <v>0</v>
      </c>
      <c r="Q153" s="374">
        <f t="shared" si="28"/>
        <v>0</v>
      </c>
      <c r="R153" s="57"/>
      <c r="S153" s="57"/>
      <c r="T153" s="57"/>
      <c r="U153" s="57"/>
      <c r="V153" s="57"/>
      <c r="W153" s="57"/>
      <c r="X153" s="57"/>
      <c r="Y153" s="57"/>
      <c r="Z153" s="57"/>
      <c r="AA153" s="57"/>
      <c r="AB153" s="57"/>
      <c r="AC153" s="57"/>
      <c r="AD153" s="361"/>
      <c r="AE153" s="57"/>
      <c r="AF153" s="57"/>
      <c r="AG153" s="57"/>
      <c r="AH153" s="57"/>
      <c r="AI153" s="57"/>
      <c r="AJ153" s="57"/>
      <c r="AK153" s="57"/>
      <c r="AL153" s="57"/>
      <c r="AM153" s="57"/>
      <c r="AP153" s="57"/>
      <c r="AQ153" s="57"/>
      <c r="AR153" s="57"/>
    </row>
    <row r="154" spans="1:44" ht="15" thickTop="1" x14ac:dyDescent="0.3">
      <c r="A154" s="62" t="str">
        <f>IF(Teams&gt;=32, "2", "Hide")</f>
        <v>Hide</v>
      </c>
      <c r="B154" s="387">
        <f>B48</f>
        <v>0</v>
      </c>
      <c r="C154" s="279" t="s">
        <v>220</v>
      </c>
      <c r="D154" s="280"/>
      <c r="E154" s="279" t="s">
        <v>221</v>
      </c>
      <c r="F154" s="76"/>
      <c r="G154" s="69" t="s">
        <v>49</v>
      </c>
      <c r="H154" s="28"/>
      <c r="I154" s="245"/>
      <c r="K154" s="366">
        <v>11</v>
      </c>
      <c r="L154" s="367" t="e">
        <f>MATCH(K154,'Ballot Entry'!$K$109:$K$143,0)</f>
        <v>#N/A</v>
      </c>
      <c r="M154" s="368" t="e">
        <f t="shared" si="24"/>
        <v>#N/A</v>
      </c>
      <c r="N154" s="368" t="e">
        <f t="shared" si="25"/>
        <v>#N/A</v>
      </c>
      <c r="O154" s="368" t="e">
        <f t="shared" si="26"/>
        <v>#N/A</v>
      </c>
      <c r="P154" s="368" t="e">
        <f t="shared" si="27"/>
        <v>#N/A</v>
      </c>
      <c r="Q154" s="374" t="e">
        <f t="shared" si="28"/>
        <v>#N/A</v>
      </c>
      <c r="R154" s="57"/>
      <c r="S154" s="57"/>
      <c r="T154" s="57"/>
      <c r="U154" s="57"/>
      <c r="V154" s="57"/>
      <c r="W154" s="57"/>
      <c r="X154" s="57"/>
      <c r="Y154" s="57"/>
      <c r="Z154" s="57"/>
      <c r="AA154" s="57"/>
      <c r="AB154" s="57"/>
      <c r="AC154" s="57"/>
      <c r="AD154" s="361"/>
      <c r="AE154" s="57"/>
      <c r="AF154" s="57"/>
      <c r="AG154" s="57"/>
      <c r="AH154" s="57"/>
      <c r="AI154" s="57"/>
      <c r="AJ154" s="57"/>
      <c r="AK154" s="57"/>
      <c r="AL154" s="57"/>
      <c r="AM154" s="57"/>
      <c r="AP154" s="57"/>
      <c r="AQ154" s="57"/>
      <c r="AR154" s="57"/>
    </row>
    <row r="155" spans="1:44" x14ac:dyDescent="0.2">
      <c r="A155" s="63" t="str">
        <f>IF(Teams&gt;=32, "2", "Hide")</f>
        <v>Hide</v>
      </c>
      <c r="B155" s="386"/>
      <c r="G155" s="68" t="s">
        <v>50</v>
      </c>
      <c r="H155" s="29"/>
      <c r="I155" s="246"/>
      <c r="K155" s="366">
        <v>12</v>
      </c>
      <c r="L155" s="367" t="e">
        <f>MATCH(K155,'Ballot Entry'!$K$109:$K$143,0)</f>
        <v>#N/A</v>
      </c>
      <c r="M155" s="368" t="e">
        <f t="shared" si="24"/>
        <v>#N/A</v>
      </c>
      <c r="N155" s="368" t="e">
        <f t="shared" si="25"/>
        <v>#N/A</v>
      </c>
      <c r="O155" s="368" t="e">
        <f t="shared" si="26"/>
        <v>#N/A</v>
      </c>
      <c r="P155" s="368" t="e">
        <f t="shared" si="27"/>
        <v>#N/A</v>
      </c>
      <c r="Q155" s="374" t="e">
        <f t="shared" si="28"/>
        <v>#N/A</v>
      </c>
      <c r="R155" s="57"/>
      <c r="S155" s="57"/>
      <c r="T155" s="57"/>
      <c r="U155" s="57"/>
      <c r="V155" s="57"/>
      <c r="W155" s="57"/>
      <c r="X155" s="57"/>
      <c r="Y155" s="57"/>
      <c r="Z155" s="57"/>
      <c r="AA155" s="57"/>
      <c r="AB155" s="57"/>
      <c r="AC155" s="57"/>
      <c r="AD155" s="361"/>
      <c r="AE155" s="57"/>
      <c r="AF155" s="57"/>
      <c r="AG155" s="57"/>
      <c r="AH155" s="57"/>
      <c r="AI155" s="57"/>
      <c r="AJ155" s="57"/>
      <c r="AK155" s="57"/>
      <c r="AL155" s="57"/>
      <c r="AM155" s="57"/>
      <c r="AP155" s="57"/>
      <c r="AQ155" s="57"/>
      <c r="AR155" s="57"/>
    </row>
    <row r="156" spans="1:44" ht="13.5" thickBot="1" x14ac:dyDescent="0.25">
      <c r="A156" s="64" t="str">
        <f>IF(Teams&gt;=32, IF(Ballots = 3, "2", "Hide"), "Hide")</f>
        <v>Hide</v>
      </c>
      <c r="B156" s="388"/>
      <c r="C156" s="281"/>
      <c r="D156" s="282"/>
      <c r="E156" s="282"/>
      <c r="F156" s="77"/>
      <c r="G156" s="70" t="s">
        <v>51</v>
      </c>
      <c r="H156" s="30"/>
      <c r="I156" s="247"/>
      <c r="K156" s="366">
        <v>13</v>
      </c>
      <c r="L156" s="367" t="e">
        <f>MATCH(K156,'Ballot Entry'!$K$109:$K$143,0)</f>
        <v>#N/A</v>
      </c>
      <c r="M156" s="368" t="e">
        <f t="shared" si="24"/>
        <v>#N/A</v>
      </c>
      <c r="N156" s="368" t="e">
        <f t="shared" si="25"/>
        <v>#N/A</v>
      </c>
      <c r="O156" s="368" t="e">
        <f t="shared" si="26"/>
        <v>#N/A</v>
      </c>
      <c r="P156" s="368" t="e">
        <f t="shared" si="27"/>
        <v>#N/A</v>
      </c>
      <c r="Q156" s="374" t="e">
        <f t="shared" si="28"/>
        <v>#N/A</v>
      </c>
      <c r="R156" s="57"/>
      <c r="S156" s="57"/>
      <c r="T156" s="57"/>
      <c r="U156" s="57"/>
      <c r="V156" s="57"/>
      <c r="W156" s="57"/>
      <c r="X156" s="57"/>
      <c r="Y156" s="57"/>
      <c r="Z156" s="57"/>
      <c r="AA156" s="57"/>
      <c r="AB156" s="57"/>
      <c r="AC156" s="57"/>
      <c r="AD156" s="361"/>
      <c r="AE156" s="57"/>
      <c r="AF156" s="57"/>
      <c r="AG156" s="57"/>
      <c r="AH156" s="57"/>
      <c r="AI156" s="57"/>
      <c r="AJ156" s="57"/>
      <c r="AK156" s="57"/>
      <c r="AL156" s="57"/>
      <c r="AM156" s="57"/>
      <c r="AP156" s="57"/>
      <c r="AQ156" s="57"/>
      <c r="AR156" s="57"/>
    </row>
    <row r="157" spans="1:44" ht="15" thickTop="1" x14ac:dyDescent="0.3">
      <c r="A157" s="60" t="str">
        <f>IF(Teams&gt;=34, "2", "Hide")</f>
        <v>Hide</v>
      </c>
      <c r="B157" s="384">
        <f>B51</f>
        <v>0</v>
      </c>
      <c r="C157" s="276" t="s">
        <v>220</v>
      </c>
      <c r="D157" s="384"/>
      <c r="E157" s="276" t="s">
        <v>221</v>
      </c>
      <c r="F157" s="74"/>
      <c r="G157" s="67" t="s">
        <v>49</v>
      </c>
      <c r="H157" s="25"/>
      <c r="I157" s="242"/>
      <c r="K157" s="366">
        <v>14</v>
      </c>
      <c r="L157" s="367" t="e">
        <f>MATCH(K157,'Ballot Entry'!$K$109:$K$143,0)</f>
        <v>#N/A</v>
      </c>
      <c r="M157" s="368" t="e">
        <f t="shared" si="24"/>
        <v>#N/A</v>
      </c>
      <c r="N157" s="368" t="e">
        <f t="shared" si="25"/>
        <v>#N/A</v>
      </c>
      <c r="O157" s="368" t="e">
        <f t="shared" si="26"/>
        <v>#N/A</v>
      </c>
      <c r="P157" s="368" t="e">
        <f t="shared" si="27"/>
        <v>#N/A</v>
      </c>
      <c r="Q157" s="374" t="e">
        <f t="shared" si="28"/>
        <v>#N/A</v>
      </c>
      <c r="R157" s="57"/>
      <c r="S157" s="57"/>
      <c r="T157" s="57"/>
      <c r="U157" s="57"/>
      <c r="V157" s="57"/>
      <c r="W157" s="57"/>
      <c r="X157" s="57"/>
      <c r="Y157" s="57"/>
      <c r="Z157" s="57"/>
      <c r="AA157" s="57"/>
      <c r="AB157" s="57"/>
      <c r="AC157" s="57"/>
      <c r="AD157" s="361"/>
      <c r="AE157" s="57"/>
      <c r="AF157" s="57"/>
      <c r="AG157" s="57"/>
      <c r="AH157" s="57"/>
      <c r="AI157" s="57"/>
      <c r="AJ157" s="57"/>
      <c r="AK157" s="57"/>
      <c r="AL157" s="57"/>
      <c r="AM157" s="57"/>
      <c r="AP157" s="57"/>
      <c r="AQ157" s="57"/>
      <c r="AR157" s="57"/>
    </row>
    <row r="158" spans="1:44" x14ac:dyDescent="0.2">
      <c r="A158" s="61" t="str">
        <f>IF(Teams&gt;=34, "2", "Hide")</f>
        <v>Hide</v>
      </c>
      <c r="G158" s="68" t="s">
        <v>50</v>
      </c>
      <c r="H158" s="26"/>
      <c r="I158" s="243"/>
      <c r="K158" s="366">
        <v>15</v>
      </c>
      <c r="L158" s="367" t="e">
        <f>MATCH(K158,'Ballot Entry'!$K$109:$K$143,0)</f>
        <v>#N/A</v>
      </c>
      <c r="M158" s="368" t="e">
        <f t="shared" si="24"/>
        <v>#N/A</v>
      </c>
      <c r="N158" s="368" t="e">
        <f t="shared" si="25"/>
        <v>#N/A</v>
      </c>
      <c r="O158" s="368" t="e">
        <f t="shared" si="26"/>
        <v>#N/A</v>
      </c>
      <c r="P158" s="368" t="e">
        <f t="shared" si="27"/>
        <v>#N/A</v>
      </c>
      <c r="Q158" s="374" t="e">
        <f t="shared" si="28"/>
        <v>#N/A</v>
      </c>
      <c r="R158" s="57"/>
      <c r="S158" s="57"/>
      <c r="T158" s="57"/>
      <c r="U158" s="57"/>
      <c r="V158" s="57"/>
      <c r="W158" s="57"/>
      <c r="X158" s="57"/>
      <c r="Y158" s="57"/>
      <c r="Z158" s="57"/>
      <c r="AA158" s="57"/>
      <c r="AB158" s="57"/>
      <c r="AC158" s="57"/>
      <c r="AD158" s="361"/>
      <c r="AE158" s="57"/>
      <c r="AF158" s="57"/>
      <c r="AG158" s="57"/>
      <c r="AH158" s="57"/>
      <c r="AI158" s="57"/>
      <c r="AJ158" s="57"/>
      <c r="AK158" s="57"/>
      <c r="AL158" s="57"/>
      <c r="AM158" s="57"/>
      <c r="AP158" s="57"/>
      <c r="AQ158" s="57"/>
      <c r="AR158" s="57"/>
    </row>
    <row r="159" spans="1:44" ht="13.5" thickBot="1" x14ac:dyDescent="0.25">
      <c r="A159" s="61" t="str">
        <f>IF(Teams&gt;=34, IF(Ballots = 3, "2", "Hide"), "Hide")</f>
        <v>Hide</v>
      </c>
      <c r="B159" s="386"/>
      <c r="C159" s="277"/>
      <c r="D159" s="278"/>
      <c r="E159" s="278"/>
      <c r="F159" s="75"/>
      <c r="G159" s="68" t="s">
        <v>51</v>
      </c>
      <c r="H159" s="27"/>
      <c r="I159" s="244"/>
      <c r="K159" s="366">
        <v>16</v>
      </c>
      <c r="L159" s="367" t="e">
        <f>MATCH(K159,'Ballot Entry'!$K$109:$K$143,0)</f>
        <v>#N/A</v>
      </c>
      <c r="M159" s="368" t="e">
        <f t="shared" si="24"/>
        <v>#N/A</v>
      </c>
      <c r="N159" s="368" t="e">
        <f t="shared" si="25"/>
        <v>#N/A</v>
      </c>
      <c r="O159" s="368" t="e">
        <f t="shared" si="26"/>
        <v>#N/A</v>
      </c>
      <c r="P159" s="368" t="e">
        <f t="shared" si="27"/>
        <v>#N/A</v>
      </c>
      <c r="Q159" s="374" t="e">
        <f t="shared" si="28"/>
        <v>#N/A</v>
      </c>
      <c r="R159" s="57"/>
      <c r="S159" s="57"/>
      <c r="T159" s="57"/>
      <c r="U159" s="57"/>
      <c r="V159" s="57"/>
      <c r="W159" s="57"/>
      <c r="X159" s="57"/>
      <c r="Y159" s="57"/>
      <c r="Z159" s="57"/>
      <c r="AA159" s="57"/>
      <c r="AB159" s="57"/>
      <c r="AC159" s="57"/>
      <c r="AD159" s="361"/>
      <c r="AE159" s="57"/>
      <c r="AF159" s="57"/>
      <c r="AG159" s="57"/>
      <c r="AH159" s="57"/>
      <c r="AI159" s="57"/>
      <c r="AJ159" s="57"/>
      <c r="AK159" s="57"/>
      <c r="AL159" s="57"/>
      <c r="AM159" s="57"/>
      <c r="AP159" s="57"/>
      <c r="AQ159" s="57"/>
      <c r="AR159" s="57"/>
    </row>
    <row r="160" spans="1:44" ht="15" thickTop="1" x14ac:dyDescent="0.3">
      <c r="A160" s="62" t="str">
        <f>IF(Teams&gt;=36, "2", "Hide")</f>
        <v>Hide</v>
      </c>
      <c r="B160" s="387">
        <f>B54</f>
        <v>0</v>
      </c>
      <c r="C160" s="279" t="s">
        <v>220</v>
      </c>
      <c r="D160" s="280"/>
      <c r="E160" s="279" t="s">
        <v>221</v>
      </c>
      <c r="F160" s="76"/>
      <c r="G160" s="69" t="s">
        <v>49</v>
      </c>
      <c r="H160" s="28"/>
      <c r="I160" s="245"/>
      <c r="K160" s="366">
        <v>17</v>
      </c>
      <c r="L160" s="367" t="e">
        <f>MATCH(K160,'Ballot Entry'!$K$109:$K$143,0)</f>
        <v>#N/A</v>
      </c>
      <c r="M160" s="368" t="e">
        <f t="shared" si="24"/>
        <v>#N/A</v>
      </c>
      <c r="N160" s="368" t="e">
        <f t="shared" si="25"/>
        <v>#N/A</v>
      </c>
      <c r="O160" s="368" t="e">
        <f t="shared" si="26"/>
        <v>#N/A</v>
      </c>
      <c r="P160" s="368" t="e">
        <f t="shared" si="27"/>
        <v>#N/A</v>
      </c>
      <c r="Q160" s="374" t="e">
        <f t="shared" si="28"/>
        <v>#N/A</v>
      </c>
      <c r="R160" s="57"/>
      <c r="S160" s="57"/>
      <c r="T160" s="57"/>
      <c r="U160" s="57"/>
      <c r="V160" s="57"/>
      <c r="W160" s="57"/>
      <c r="X160" s="57"/>
      <c r="Y160" s="57"/>
      <c r="Z160" s="57"/>
      <c r="AA160" s="57"/>
      <c r="AB160" s="57"/>
      <c r="AC160" s="57"/>
      <c r="AD160" s="361"/>
      <c r="AE160" s="57"/>
      <c r="AF160" s="57"/>
      <c r="AG160" s="57"/>
      <c r="AH160" s="57"/>
      <c r="AI160" s="57"/>
      <c r="AJ160" s="57"/>
      <c r="AK160" s="57"/>
      <c r="AL160" s="57"/>
      <c r="AM160" s="57"/>
      <c r="AP160" s="57"/>
      <c r="AQ160" s="57"/>
      <c r="AR160" s="57"/>
    </row>
    <row r="161" spans="1:44" x14ac:dyDescent="0.2">
      <c r="A161" s="63" t="str">
        <f>IF(Teams&gt;=36, "2", "Hide")</f>
        <v>Hide</v>
      </c>
      <c r="B161" s="386"/>
      <c r="G161" s="68" t="s">
        <v>50</v>
      </c>
      <c r="H161" s="29"/>
      <c r="I161" s="246"/>
      <c r="K161" s="366">
        <v>18</v>
      </c>
      <c r="L161" s="367" t="e">
        <f>MATCH(K161,'Ballot Entry'!$K$109:$K$143,0)</f>
        <v>#N/A</v>
      </c>
      <c r="M161" s="368" t="e">
        <f t="shared" si="24"/>
        <v>#N/A</v>
      </c>
      <c r="N161" s="368" t="e">
        <f t="shared" si="25"/>
        <v>#N/A</v>
      </c>
      <c r="O161" s="368" t="e">
        <f t="shared" si="26"/>
        <v>#N/A</v>
      </c>
      <c r="P161" s="368" t="e">
        <f t="shared" si="27"/>
        <v>#N/A</v>
      </c>
      <c r="Q161" s="374" t="e">
        <f t="shared" si="28"/>
        <v>#N/A</v>
      </c>
      <c r="R161" s="57"/>
      <c r="S161" s="57"/>
      <c r="T161" s="57"/>
      <c r="U161" s="57"/>
      <c r="V161" s="57"/>
      <c r="W161" s="57"/>
      <c r="X161" s="57"/>
      <c r="Y161" s="57"/>
      <c r="Z161" s="57"/>
      <c r="AA161" s="57"/>
      <c r="AB161" s="57"/>
      <c r="AC161" s="57"/>
      <c r="AD161" s="361"/>
      <c r="AE161" s="57"/>
      <c r="AF161" s="57"/>
      <c r="AG161" s="57"/>
      <c r="AH161" s="57"/>
      <c r="AI161" s="57"/>
      <c r="AJ161" s="57"/>
      <c r="AK161" s="57"/>
      <c r="AL161" s="57"/>
      <c r="AM161" s="57"/>
      <c r="AP161" s="57"/>
      <c r="AQ161" s="57"/>
      <c r="AR161" s="57"/>
    </row>
    <row r="162" spans="1:44" ht="13.5" thickBot="1" x14ac:dyDescent="0.25">
      <c r="A162" s="64" t="str">
        <f>IF(Teams&gt;=36, IF(Ballots = 3, "2", "Hide"), "Hide")</f>
        <v>Hide</v>
      </c>
      <c r="B162" s="388"/>
      <c r="C162" s="281"/>
      <c r="D162" s="282"/>
      <c r="E162" s="282"/>
      <c r="F162" s="77"/>
      <c r="G162" s="70" t="s">
        <v>51</v>
      </c>
      <c r="H162" s="30"/>
      <c r="I162" s="247"/>
      <c r="K162" s="366">
        <v>19</v>
      </c>
      <c r="L162" s="367" t="e">
        <f>MATCH(K162,'Ballot Entry'!$K$109:$K$143,0)</f>
        <v>#N/A</v>
      </c>
      <c r="M162" s="368" t="e">
        <f t="shared" si="24"/>
        <v>#N/A</v>
      </c>
      <c r="N162" s="368" t="e">
        <f t="shared" si="25"/>
        <v>#N/A</v>
      </c>
      <c r="O162" s="368" t="e">
        <f t="shared" si="26"/>
        <v>#N/A</v>
      </c>
      <c r="P162" s="368" t="e">
        <f t="shared" si="27"/>
        <v>#N/A</v>
      </c>
      <c r="Q162" s="374" t="e">
        <f t="shared" si="28"/>
        <v>#N/A</v>
      </c>
      <c r="R162" s="57"/>
      <c r="S162" s="57"/>
      <c r="T162" s="57"/>
      <c r="U162" s="57"/>
      <c r="V162" s="57"/>
      <c r="W162" s="57"/>
      <c r="X162" s="57"/>
      <c r="Y162" s="57"/>
      <c r="Z162" s="57"/>
      <c r="AA162" s="57"/>
      <c r="AB162" s="57"/>
      <c r="AC162" s="57"/>
      <c r="AD162" s="361"/>
      <c r="AE162" s="57"/>
      <c r="AF162" s="57"/>
      <c r="AG162" s="57"/>
      <c r="AH162" s="57"/>
      <c r="AI162" s="57"/>
      <c r="AJ162" s="57"/>
      <c r="AK162" s="57"/>
      <c r="AL162" s="57"/>
      <c r="AM162" s="57"/>
      <c r="AP162" s="57"/>
      <c r="AQ162" s="57"/>
      <c r="AR162" s="57"/>
    </row>
    <row r="163" spans="1:44" ht="15" thickTop="1" x14ac:dyDescent="0.3">
      <c r="A163" s="60" t="str">
        <f>IF(Teams&gt;=38, "2", "Hide")</f>
        <v>Hide</v>
      </c>
      <c r="B163" s="384">
        <f>B57</f>
        <v>0</v>
      </c>
      <c r="C163" s="276" t="s">
        <v>220</v>
      </c>
      <c r="D163" s="384"/>
      <c r="E163" s="276" t="s">
        <v>221</v>
      </c>
      <c r="F163" s="74"/>
      <c r="G163" s="67" t="s">
        <v>49</v>
      </c>
      <c r="H163" s="25"/>
      <c r="I163" s="242"/>
      <c r="K163" s="366">
        <v>20</v>
      </c>
      <c r="L163" s="367" t="e">
        <f>MATCH(K163,'Ballot Entry'!$K$109:$K$143,0)</f>
        <v>#N/A</v>
      </c>
      <c r="M163" s="368" t="e">
        <f t="shared" si="24"/>
        <v>#N/A</v>
      </c>
      <c r="N163" s="368" t="e">
        <f t="shared" si="25"/>
        <v>#N/A</v>
      </c>
      <c r="O163" s="368" t="e">
        <f t="shared" si="26"/>
        <v>#N/A</v>
      </c>
      <c r="P163" s="368" t="e">
        <f t="shared" si="27"/>
        <v>#N/A</v>
      </c>
      <c r="Q163" s="374" t="e">
        <f t="shared" si="28"/>
        <v>#N/A</v>
      </c>
      <c r="R163" s="57"/>
      <c r="S163" s="57"/>
      <c r="T163" s="57"/>
      <c r="U163" s="57"/>
      <c r="V163" s="57"/>
      <c r="W163" s="57"/>
      <c r="X163" s="57"/>
      <c r="Y163" s="57"/>
      <c r="Z163" s="57"/>
      <c r="AA163" s="57"/>
      <c r="AB163" s="57"/>
      <c r="AC163" s="57"/>
      <c r="AD163" s="361"/>
      <c r="AE163" s="57"/>
      <c r="AF163" s="57"/>
      <c r="AG163" s="57"/>
      <c r="AH163" s="57"/>
      <c r="AI163" s="57"/>
      <c r="AJ163" s="57"/>
      <c r="AK163" s="57"/>
      <c r="AL163" s="57"/>
      <c r="AM163" s="57"/>
      <c r="AP163" s="57"/>
      <c r="AQ163" s="57"/>
      <c r="AR163" s="57"/>
    </row>
    <row r="164" spans="1:44" x14ac:dyDescent="0.2">
      <c r="A164" s="61" t="str">
        <f>IF(Teams&gt;=38, "2", "Hide")</f>
        <v>Hide</v>
      </c>
      <c r="G164" s="68" t="s">
        <v>50</v>
      </c>
      <c r="H164" s="26"/>
      <c r="I164" s="243"/>
      <c r="K164" s="366">
        <v>21</v>
      </c>
      <c r="L164" s="367" t="e">
        <f>MATCH(K164,'Ballot Entry'!$K$109:$K$143,0)</f>
        <v>#N/A</v>
      </c>
      <c r="M164" s="368" t="e">
        <f t="shared" si="24"/>
        <v>#N/A</v>
      </c>
      <c r="N164" s="368" t="e">
        <f t="shared" si="25"/>
        <v>#N/A</v>
      </c>
      <c r="O164" s="368" t="e">
        <f t="shared" si="26"/>
        <v>#N/A</v>
      </c>
      <c r="P164" s="368" t="e">
        <f t="shared" si="27"/>
        <v>#N/A</v>
      </c>
      <c r="Q164" s="374" t="e">
        <f t="shared" si="28"/>
        <v>#N/A</v>
      </c>
      <c r="R164" s="57"/>
      <c r="S164" s="57"/>
      <c r="T164" s="57"/>
      <c r="U164" s="57"/>
      <c r="V164" s="57"/>
      <c r="W164" s="57"/>
      <c r="X164" s="57"/>
      <c r="Y164" s="57"/>
      <c r="Z164" s="57"/>
      <c r="AA164" s="57"/>
      <c r="AB164" s="57"/>
      <c r="AC164" s="57"/>
      <c r="AD164" s="361"/>
      <c r="AE164" s="57"/>
      <c r="AF164" s="57"/>
      <c r="AG164" s="57"/>
      <c r="AH164" s="57"/>
      <c r="AI164" s="57"/>
      <c r="AJ164" s="57"/>
      <c r="AK164" s="57"/>
      <c r="AL164" s="57"/>
      <c r="AM164" s="57"/>
      <c r="AP164" s="57"/>
      <c r="AQ164" s="57"/>
      <c r="AR164" s="57"/>
    </row>
    <row r="165" spans="1:44" ht="13.5" thickBot="1" x14ac:dyDescent="0.25">
      <c r="A165" s="61" t="str">
        <f>IF(Teams&gt;=38, IF(Ballots = 3, "2", "Hide"), "Hide")</f>
        <v>Hide</v>
      </c>
      <c r="B165" s="386"/>
      <c r="C165" s="277"/>
      <c r="D165" s="278"/>
      <c r="E165" s="278"/>
      <c r="F165" s="75"/>
      <c r="G165" s="68" t="s">
        <v>51</v>
      </c>
      <c r="H165" s="27"/>
      <c r="I165" s="244"/>
      <c r="K165" s="366">
        <v>22</v>
      </c>
      <c r="L165" s="367" t="e">
        <f>MATCH(K165,'Ballot Entry'!$K$109:$K$143,0)</f>
        <v>#N/A</v>
      </c>
      <c r="M165" s="368" t="e">
        <f t="shared" si="24"/>
        <v>#N/A</v>
      </c>
      <c r="N165" s="368" t="e">
        <f t="shared" si="25"/>
        <v>#N/A</v>
      </c>
      <c r="O165" s="368" t="e">
        <f t="shared" si="26"/>
        <v>#N/A</v>
      </c>
      <c r="P165" s="368" t="e">
        <f t="shared" si="27"/>
        <v>#N/A</v>
      </c>
      <c r="Q165" s="374" t="e">
        <f t="shared" si="28"/>
        <v>#N/A</v>
      </c>
      <c r="R165" s="57"/>
      <c r="S165" s="57"/>
      <c r="T165" s="57"/>
      <c r="U165" s="57"/>
      <c r="V165" s="57"/>
      <c r="W165" s="57"/>
      <c r="X165" s="57"/>
      <c r="Y165" s="57"/>
      <c r="Z165" s="57"/>
      <c r="AA165" s="57"/>
      <c r="AB165" s="57"/>
      <c r="AC165" s="57"/>
      <c r="AD165" s="361"/>
      <c r="AE165" s="57"/>
      <c r="AF165" s="57"/>
      <c r="AG165" s="57"/>
      <c r="AH165" s="57"/>
      <c r="AI165" s="57"/>
      <c r="AJ165" s="57"/>
      <c r="AK165" s="57"/>
      <c r="AL165" s="57"/>
      <c r="AM165" s="57"/>
      <c r="AP165" s="57"/>
      <c r="AQ165" s="57"/>
      <c r="AR165" s="57"/>
    </row>
    <row r="166" spans="1:44" ht="15" thickTop="1" x14ac:dyDescent="0.3">
      <c r="A166" s="62" t="str">
        <f>IF(Teams&gt;=40, "2", "Hide")</f>
        <v>Hide</v>
      </c>
      <c r="B166" s="387">
        <f>B60</f>
        <v>0</v>
      </c>
      <c r="C166" s="279" t="s">
        <v>220</v>
      </c>
      <c r="D166" s="280"/>
      <c r="E166" s="279" t="s">
        <v>221</v>
      </c>
      <c r="F166" s="76"/>
      <c r="G166" s="69" t="s">
        <v>49</v>
      </c>
      <c r="H166" s="28"/>
      <c r="I166" s="245"/>
      <c r="K166" s="366">
        <v>23</v>
      </c>
      <c r="L166" s="367" t="e">
        <f>MATCH(K166,'Ballot Entry'!$K$109:$K$143,0)</f>
        <v>#N/A</v>
      </c>
      <c r="M166" s="368" t="e">
        <f t="shared" si="24"/>
        <v>#N/A</v>
      </c>
      <c r="N166" s="368" t="e">
        <f t="shared" si="25"/>
        <v>#N/A</v>
      </c>
      <c r="O166" s="368" t="e">
        <f t="shared" si="26"/>
        <v>#N/A</v>
      </c>
      <c r="P166" s="368" t="e">
        <f t="shared" si="27"/>
        <v>#N/A</v>
      </c>
      <c r="Q166" s="374" t="e">
        <f t="shared" si="28"/>
        <v>#N/A</v>
      </c>
      <c r="R166" s="57"/>
      <c r="S166" s="57"/>
      <c r="T166" s="57"/>
      <c r="U166" s="57"/>
      <c r="V166" s="57"/>
      <c r="W166" s="57"/>
      <c r="X166" s="57"/>
      <c r="Y166" s="57"/>
      <c r="Z166" s="57"/>
      <c r="AA166" s="57"/>
      <c r="AB166" s="57"/>
      <c r="AC166" s="57"/>
      <c r="AD166" s="361"/>
      <c r="AE166" s="57"/>
      <c r="AF166" s="57"/>
      <c r="AG166" s="57"/>
      <c r="AH166" s="57"/>
      <c r="AI166" s="57"/>
      <c r="AJ166" s="57"/>
      <c r="AK166" s="57"/>
      <c r="AL166" s="57"/>
      <c r="AM166" s="57"/>
      <c r="AP166" s="57"/>
      <c r="AQ166" s="57"/>
      <c r="AR166" s="57"/>
    </row>
    <row r="167" spans="1:44" x14ac:dyDescent="0.2">
      <c r="A167" s="63" t="str">
        <f>IF(Teams&gt;=40, "2", "Hide")</f>
        <v>Hide</v>
      </c>
      <c r="B167" s="386"/>
      <c r="G167" s="68" t="s">
        <v>50</v>
      </c>
      <c r="H167" s="29"/>
      <c r="I167" s="246"/>
      <c r="K167" s="366">
        <v>24</v>
      </c>
      <c r="L167" s="367" t="e">
        <f>MATCH(K167,'Ballot Entry'!$K$109:$K$143,0)</f>
        <v>#N/A</v>
      </c>
      <c r="M167" s="368" t="e">
        <f t="shared" si="24"/>
        <v>#N/A</v>
      </c>
      <c r="N167" s="368" t="e">
        <f t="shared" si="25"/>
        <v>#N/A</v>
      </c>
      <c r="O167" s="368" t="e">
        <f t="shared" si="26"/>
        <v>#N/A</v>
      </c>
      <c r="P167" s="368" t="e">
        <f t="shared" si="27"/>
        <v>#N/A</v>
      </c>
      <c r="Q167" s="374" t="e">
        <f t="shared" si="28"/>
        <v>#N/A</v>
      </c>
      <c r="R167" s="57"/>
      <c r="S167" s="57"/>
      <c r="T167" s="57"/>
      <c r="U167" s="57"/>
      <c r="V167" s="57"/>
      <c r="W167" s="57"/>
      <c r="X167" s="57"/>
      <c r="Y167" s="57"/>
      <c r="Z167" s="57"/>
      <c r="AA167" s="57"/>
      <c r="AB167" s="57"/>
      <c r="AC167" s="57"/>
      <c r="AD167" s="361"/>
      <c r="AE167" s="57"/>
      <c r="AF167" s="57"/>
      <c r="AG167" s="57"/>
      <c r="AH167" s="57"/>
      <c r="AI167" s="57"/>
      <c r="AJ167" s="57"/>
      <c r="AK167" s="57"/>
      <c r="AL167" s="57"/>
      <c r="AM167" s="57"/>
      <c r="AP167" s="57"/>
      <c r="AQ167" s="57"/>
      <c r="AR167" s="57"/>
    </row>
    <row r="168" spans="1:44" ht="13.5" thickBot="1" x14ac:dyDescent="0.25">
      <c r="A168" s="64" t="str">
        <f>IF(Teams&gt;=40, IF(Ballots = 3, "2", "Hide"), "Hide")</f>
        <v>Hide</v>
      </c>
      <c r="B168" s="388"/>
      <c r="C168" s="281"/>
      <c r="D168" s="282"/>
      <c r="E168" s="282"/>
      <c r="F168" s="77"/>
      <c r="G168" s="70" t="s">
        <v>51</v>
      </c>
      <c r="H168" s="30"/>
      <c r="I168" s="247"/>
      <c r="K168" s="366">
        <v>25</v>
      </c>
      <c r="L168" s="367" t="e">
        <f>MATCH(K168,'Ballot Entry'!$K$109:$K$143,0)</f>
        <v>#N/A</v>
      </c>
      <c r="M168" s="368" t="e">
        <f t="shared" si="24"/>
        <v>#N/A</v>
      </c>
      <c r="N168" s="368" t="e">
        <f t="shared" si="25"/>
        <v>#N/A</v>
      </c>
      <c r="O168" s="368" t="e">
        <f t="shared" si="26"/>
        <v>#N/A</v>
      </c>
      <c r="P168" s="368" t="e">
        <f t="shared" si="27"/>
        <v>#N/A</v>
      </c>
      <c r="Q168" s="374" t="e">
        <f t="shared" si="28"/>
        <v>#N/A</v>
      </c>
      <c r="R168" s="57"/>
      <c r="S168" s="57"/>
      <c r="T168" s="57"/>
      <c r="U168" s="57"/>
      <c r="V168" s="57"/>
      <c r="W168" s="57"/>
      <c r="X168" s="57"/>
      <c r="Y168" s="57"/>
      <c r="Z168" s="57"/>
      <c r="AA168" s="57"/>
      <c r="AB168" s="57"/>
      <c r="AC168" s="57"/>
      <c r="AD168" s="361"/>
      <c r="AE168" s="57"/>
      <c r="AF168" s="57"/>
      <c r="AG168" s="57"/>
      <c r="AH168" s="57"/>
      <c r="AI168" s="57"/>
      <c r="AJ168" s="57"/>
      <c r="AK168" s="57"/>
      <c r="AL168" s="57"/>
      <c r="AM168" s="57"/>
      <c r="AP168" s="57"/>
      <c r="AQ168" s="57"/>
      <c r="AR168" s="57"/>
    </row>
    <row r="169" spans="1:44" ht="15" thickTop="1" x14ac:dyDescent="0.3">
      <c r="A169" s="60" t="str">
        <f>IF(Teams&gt;=42, "2", "Hide")</f>
        <v>Hide</v>
      </c>
      <c r="B169" s="384">
        <f>B63</f>
        <v>0</v>
      </c>
      <c r="C169" s="276" t="s">
        <v>220</v>
      </c>
      <c r="D169" s="384"/>
      <c r="E169" s="276" t="s">
        <v>221</v>
      </c>
      <c r="F169" s="74"/>
      <c r="G169" s="67" t="s">
        <v>49</v>
      </c>
      <c r="H169" s="25"/>
      <c r="I169" s="242"/>
      <c r="K169" s="366">
        <v>26</v>
      </c>
      <c r="L169" s="367" t="e">
        <f>MATCH(K169,'Ballot Entry'!$K$109:$K$143,0)</f>
        <v>#N/A</v>
      </c>
      <c r="M169" s="368" t="e">
        <f t="shared" si="24"/>
        <v>#N/A</v>
      </c>
      <c r="N169" s="368" t="e">
        <f t="shared" si="25"/>
        <v>#N/A</v>
      </c>
      <c r="O169" s="368" t="e">
        <f t="shared" si="26"/>
        <v>#N/A</v>
      </c>
      <c r="P169" s="368" t="e">
        <f t="shared" si="27"/>
        <v>#N/A</v>
      </c>
      <c r="Q169" s="374" t="e">
        <f t="shared" si="28"/>
        <v>#N/A</v>
      </c>
      <c r="R169" s="57"/>
      <c r="S169" s="57"/>
      <c r="T169" s="57"/>
      <c r="U169" s="57"/>
      <c r="V169" s="57"/>
      <c r="W169" s="57"/>
      <c r="X169" s="57"/>
      <c r="Y169" s="57"/>
      <c r="Z169" s="57"/>
      <c r="AA169" s="57"/>
      <c r="AB169" s="57"/>
      <c r="AC169" s="57"/>
      <c r="AD169" s="361"/>
      <c r="AE169" s="57"/>
      <c r="AF169" s="57"/>
      <c r="AG169" s="57"/>
      <c r="AH169" s="57"/>
      <c r="AI169" s="57"/>
      <c r="AJ169" s="57"/>
      <c r="AK169" s="57"/>
      <c r="AL169" s="57"/>
      <c r="AM169" s="57"/>
      <c r="AP169" s="57"/>
      <c r="AQ169" s="57"/>
      <c r="AR169" s="57"/>
    </row>
    <row r="170" spans="1:44" x14ac:dyDescent="0.2">
      <c r="A170" s="61" t="str">
        <f>IF(Teams&gt;=42, "2", "Hide")</f>
        <v>Hide</v>
      </c>
      <c r="G170" s="68" t="s">
        <v>50</v>
      </c>
      <c r="H170" s="26"/>
      <c r="I170" s="243"/>
      <c r="K170" s="366">
        <v>27</v>
      </c>
      <c r="L170" s="367" t="e">
        <f>MATCH(K170,'Ballot Entry'!$K$109:$K$143,0)</f>
        <v>#N/A</v>
      </c>
      <c r="M170" s="368" t="e">
        <f t="shared" si="24"/>
        <v>#N/A</v>
      </c>
      <c r="N170" s="368" t="e">
        <f t="shared" si="25"/>
        <v>#N/A</v>
      </c>
      <c r="O170" s="368" t="e">
        <f t="shared" si="26"/>
        <v>#N/A</v>
      </c>
      <c r="P170" s="368" t="e">
        <f t="shared" si="27"/>
        <v>#N/A</v>
      </c>
      <c r="Q170" s="374" t="e">
        <f t="shared" si="28"/>
        <v>#N/A</v>
      </c>
      <c r="R170" s="57"/>
      <c r="S170" s="57"/>
      <c r="T170" s="57"/>
      <c r="U170" s="57"/>
      <c r="V170" s="57"/>
      <c r="W170" s="57"/>
      <c r="X170" s="57"/>
      <c r="Y170" s="57"/>
      <c r="Z170" s="57"/>
      <c r="AA170" s="57"/>
      <c r="AB170" s="57"/>
      <c r="AC170" s="57"/>
      <c r="AD170" s="361"/>
      <c r="AE170" s="57"/>
      <c r="AF170" s="57"/>
      <c r="AG170" s="57"/>
      <c r="AH170" s="57"/>
      <c r="AI170" s="57"/>
      <c r="AJ170" s="57"/>
      <c r="AK170" s="57"/>
      <c r="AL170" s="57"/>
      <c r="AM170" s="57"/>
      <c r="AP170" s="57"/>
      <c r="AQ170" s="57"/>
      <c r="AR170" s="57"/>
    </row>
    <row r="171" spans="1:44" ht="13.5" thickBot="1" x14ac:dyDescent="0.25">
      <c r="A171" s="61" t="str">
        <f>IF(Teams&gt;=42, IF(Ballots = 3, "2", "Hide"), "Hide")</f>
        <v>Hide</v>
      </c>
      <c r="B171" s="386"/>
      <c r="C171" s="277"/>
      <c r="D171" s="278"/>
      <c r="E171" s="278"/>
      <c r="F171" s="75"/>
      <c r="G171" s="68" t="s">
        <v>51</v>
      </c>
      <c r="H171" s="27"/>
      <c r="I171" s="244"/>
      <c r="K171" s="366">
        <v>28</v>
      </c>
      <c r="L171" s="367" t="e">
        <f>MATCH(K171,'Ballot Entry'!$K$109:$K$143,0)</f>
        <v>#N/A</v>
      </c>
      <c r="M171" s="368" t="e">
        <f t="shared" si="24"/>
        <v>#N/A</v>
      </c>
      <c r="N171" s="368" t="e">
        <f t="shared" si="25"/>
        <v>#N/A</v>
      </c>
      <c r="O171" s="368" t="e">
        <f t="shared" si="26"/>
        <v>#N/A</v>
      </c>
      <c r="P171" s="368" t="e">
        <f t="shared" si="27"/>
        <v>#N/A</v>
      </c>
      <c r="Q171" s="374" t="e">
        <f t="shared" si="28"/>
        <v>#N/A</v>
      </c>
      <c r="R171" s="57"/>
      <c r="S171" s="57"/>
      <c r="T171" s="57"/>
      <c r="U171" s="57"/>
      <c r="V171" s="57"/>
      <c r="W171" s="57"/>
      <c r="X171" s="57"/>
      <c r="Y171" s="57"/>
      <c r="Z171" s="57"/>
      <c r="AA171" s="57"/>
      <c r="AB171" s="57"/>
      <c r="AC171" s="57"/>
      <c r="AD171" s="361"/>
      <c r="AE171" s="57"/>
      <c r="AF171" s="57"/>
      <c r="AG171" s="57"/>
      <c r="AH171" s="57"/>
      <c r="AI171" s="57"/>
      <c r="AJ171" s="57"/>
      <c r="AK171" s="57"/>
      <c r="AL171" s="57"/>
      <c r="AM171" s="57"/>
      <c r="AP171" s="57"/>
      <c r="AQ171" s="57"/>
      <c r="AR171" s="57"/>
    </row>
    <row r="172" spans="1:44" ht="15" thickTop="1" x14ac:dyDescent="0.3">
      <c r="A172" s="62" t="str">
        <f>IF(Teams&gt;=44, "2", "Hide")</f>
        <v>Hide</v>
      </c>
      <c r="B172" s="387">
        <f>B66</f>
        <v>0</v>
      </c>
      <c r="C172" s="279" t="s">
        <v>220</v>
      </c>
      <c r="D172" s="280"/>
      <c r="E172" s="279" t="s">
        <v>221</v>
      </c>
      <c r="F172" s="76"/>
      <c r="G172" s="69" t="s">
        <v>49</v>
      </c>
      <c r="H172" s="28"/>
      <c r="I172" s="245"/>
      <c r="K172" s="366">
        <v>29</v>
      </c>
      <c r="L172" s="367" t="e">
        <f>MATCH(K172,'Ballot Entry'!$K$109:$K$143,0)</f>
        <v>#N/A</v>
      </c>
      <c r="M172" s="368" t="e">
        <f t="shared" si="24"/>
        <v>#N/A</v>
      </c>
      <c r="N172" s="368" t="e">
        <f t="shared" si="25"/>
        <v>#N/A</v>
      </c>
      <c r="O172" s="368" t="e">
        <f t="shared" si="26"/>
        <v>#N/A</v>
      </c>
      <c r="P172" s="368" t="e">
        <f t="shared" si="27"/>
        <v>#N/A</v>
      </c>
      <c r="Q172" s="374" t="e">
        <f t="shared" si="28"/>
        <v>#N/A</v>
      </c>
      <c r="R172" s="57"/>
      <c r="S172" s="57"/>
      <c r="T172" s="57"/>
      <c r="U172" s="57"/>
      <c r="V172" s="57"/>
      <c r="W172" s="57"/>
      <c r="X172" s="57"/>
      <c r="Y172" s="57"/>
      <c r="Z172" s="57"/>
      <c r="AA172" s="57"/>
      <c r="AB172" s="57"/>
      <c r="AC172" s="57"/>
      <c r="AD172" s="361"/>
      <c r="AE172" s="57"/>
      <c r="AF172" s="57"/>
      <c r="AG172" s="57"/>
      <c r="AH172" s="57"/>
      <c r="AI172" s="57"/>
      <c r="AJ172" s="57"/>
      <c r="AK172" s="57"/>
      <c r="AL172" s="57"/>
      <c r="AM172" s="57"/>
      <c r="AP172" s="57"/>
      <c r="AQ172" s="57"/>
      <c r="AR172" s="57"/>
    </row>
    <row r="173" spans="1:44" x14ac:dyDescent="0.2">
      <c r="A173" s="63" t="str">
        <f>IF(Teams&gt;=44, "2", "Hide")</f>
        <v>Hide</v>
      </c>
      <c r="B173" s="386"/>
      <c r="G173" s="68" t="s">
        <v>50</v>
      </c>
      <c r="H173" s="29"/>
      <c r="I173" s="246"/>
      <c r="K173" s="366">
        <v>30</v>
      </c>
      <c r="L173" s="367" t="e">
        <f>MATCH(K173,'Ballot Entry'!$K$109:$K$143,0)</f>
        <v>#N/A</v>
      </c>
      <c r="M173" s="368" t="e">
        <f t="shared" si="24"/>
        <v>#N/A</v>
      </c>
      <c r="N173" s="368" t="e">
        <f t="shared" si="25"/>
        <v>#N/A</v>
      </c>
      <c r="O173" s="368" t="e">
        <f t="shared" si="26"/>
        <v>#N/A</v>
      </c>
      <c r="P173" s="368" t="e">
        <f t="shared" si="27"/>
        <v>#N/A</v>
      </c>
      <c r="Q173" s="374" t="e">
        <f t="shared" si="28"/>
        <v>#N/A</v>
      </c>
      <c r="R173" s="57"/>
      <c r="S173" s="57"/>
      <c r="T173" s="57"/>
      <c r="U173" s="57"/>
      <c r="V173" s="57"/>
      <c r="W173" s="57"/>
      <c r="X173" s="57"/>
      <c r="Y173" s="57"/>
      <c r="Z173" s="57"/>
      <c r="AA173" s="57"/>
      <c r="AB173" s="57"/>
      <c r="AC173" s="57"/>
      <c r="AD173" s="361"/>
      <c r="AE173" s="57"/>
      <c r="AF173" s="57"/>
      <c r="AG173" s="57"/>
      <c r="AH173" s="57"/>
      <c r="AI173" s="57"/>
      <c r="AJ173" s="57"/>
      <c r="AK173" s="57"/>
      <c r="AL173" s="57"/>
      <c r="AM173" s="57"/>
      <c r="AP173" s="57"/>
      <c r="AQ173" s="57"/>
      <c r="AR173" s="57"/>
    </row>
    <row r="174" spans="1:44" ht="13.5" thickBot="1" x14ac:dyDescent="0.25">
      <c r="A174" s="64" t="str">
        <f>IF(Teams&gt;=44, IF(Ballots = 3, "2", "Hide"), "Hide")</f>
        <v>Hide</v>
      </c>
      <c r="B174" s="388"/>
      <c r="C174" s="281"/>
      <c r="D174" s="282"/>
      <c r="E174" s="282"/>
      <c r="F174" s="77"/>
      <c r="G174" s="70" t="s">
        <v>51</v>
      </c>
      <c r="H174" s="30"/>
      <c r="I174" s="247"/>
      <c r="K174" s="366">
        <v>31</v>
      </c>
      <c r="L174" s="367" t="e">
        <f>MATCH(K174,'Ballot Entry'!$K$109:$K$143,0)</f>
        <v>#N/A</v>
      </c>
      <c r="M174" s="368" t="e">
        <f t="shared" si="24"/>
        <v>#N/A</v>
      </c>
      <c r="N174" s="368" t="e">
        <f t="shared" si="25"/>
        <v>#N/A</v>
      </c>
      <c r="O174" s="368" t="e">
        <f t="shared" si="26"/>
        <v>#N/A</v>
      </c>
      <c r="P174" s="368" t="e">
        <f t="shared" si="27"/>
        <v>#N/A</v>
      </c>
      <c r="Q174" s="374" t="e">
        <f t="shared" si="28"/>
        <v>#N/A</v>
      </c>
      <c r="R174" s="57"/>
      <c r="S174" s="57"/>
      <c r="T174" s="57"/>
      <c r="U174" s="57"/>
      <c r="V174" s="57"/>
      <c r="W174" s="57"/>
      <c r="X174" s="57"/>
      <c r="Y174" s="57"/>
      <c r="Z174" s="57"/>
      <c r="AA174" s="57"/>
      <c r="AB174" s="57"/>
      <c r="AC174" s="57"/>
      <c r="AD174" s="361"/>
      <c r="AE174" s="57"/>
      <c r="AF174" s="57"/>
      <c r="AG174" s="57"/>
      <c r="AH174" s="57"/>
      <c r="AI174" s="57"/>
      <c r="AJ174" s="57"/>
      <c r="AK174" s="57"/>
      <c r="AL174" s="57"/>
      <c r="AM174" s="57"/>
      <c r="AP174" s="57"/>
      <c r="AQ174" s="57"/>
      <c r="AR174" s="57"/>
    </row>
    <row r="175" spans="1:44" ht="15" thickTop="1" x14ac:dyDescent="0.3">
      <c r="A175" s="60" t="str">
        <f>IF(Teams&gt;=46, "2", "Hide")</f>
        <v>Hide</v>
      </c>
      <c r="B175" s="384">
        <f>B69</f>
        <v>0</v>
      </c>
      <c r="C175" s="276" t="s">
        <v>220</v>
      </c>
      <c r="D175" s="384"/>
      <c r="E175" s="276" t="s">
        <v>221</v>
      </c>
      <c r="F175" s="74"/>
      <c r="G175" s="67" t="s">
        <v>49</v>
      </c>
      <c r="H175" s="25"/>
      <c r="I175" s="242"/>
      <c r="K175" s="366">
        <v>32</v>
      </c>
      <c r="L175" s="367" t="e">
        <f>MATCH(K175,'Ballot Entry'!$K$109:$K$143,0)</f>
        <v>#N/A</v>
      </c>
      <c r="M175" s="368" t="e">
        <f t="shared" si="24"/>
        <v>#N/A</v>
      </c>
      <c r="N175" s="368" t="e">
        <f t="shared" si="25"/>
        <v>#N/A</v>
      </c>
      <c r="O175" s="368" t="e">
        <f t="shared" si="26"/>
        <v>#N/A</v>
      </c>
      <c r="P175" s="368" t="e">
        <f t="shared" si="27"/>
        <v>#N/A</v>
      </c>
      <c r="Q175" s="374" t="e">
        <f t="shared" si="28"/>
        <v>#N/A</v>
      </c>
      <c r="R175" s="57"/>
      <c r="S175" s="57"/>
      <c r="T175" s="57"/>
      <c r="U175" s="57"/>
      <c r="V175" s="57"/>
      <c r="W175" s="57"/>
      <c r="X175" s="57"/>
      <c r="Y175" s="57"/>
      <c r="Z175" s="57"/>
      <c r="AA175" s="57"/>
      <c r="AB175" s="57"/>
      <c r="AC175" s="57"/>
      <c r="AD175" s="361"/>
      <c r="AE175" s="57"/>
      <c r="AF175" s="57"/>
      <c r="AG175" s="57"/>
      <c r="AH175" s="57"/>
      <c r="AI175" s="57"/>
      <c r="AJ175" s="57"/>
      <c r="AK175" s="57"/>
      <c r="AL175" s="57"/>
      <c r="AM175" s="57"/>
      <c r="AP175" s="57"/>
      <c r="AQ175" s="57"/>
      <c r="AR175" s="57"/>
    </row>
    <row r="176" spans="1:44" x14ac:dyDescent="0.2">
      <c r="A176" s="61" t="str">
        <f>IF(Teams&gt;=46, "2", "Hide")</f>
        <v>Hide</v>
      </c>
      <c r="G176" s="68" t="s">
        <v>50</v>
      </c>
      <c r="H176" s="26"/>
      <c r="I176" s="243"/>
      <c r="K176" s="366">
        <v>33</v>
      </c>
      <c r="L176" s="367" t="e">
        <f>MATCH(K176,'Ballot Entry'!$K$109:$K$143,0)</f>
        <v>#N/A</v>
      </c>
      <c r="M176" s="368" t="e">
        <f t="shared" si="24"/>
        <v>#N/A</v>
      </c>
      <c r="N176" s="368" t="e">
        <f t="shared" si="25"/>
        <v>#N/A</v>
      </c>
      <c r="O176" s="368" t="e">
        <f t="shared" si="26"/>
        <v>#N/A</v>
      </c>
      <c r="P176" s="368" t="e">
        <f t="shared" si="27"/>
        <v>#N/A</v>
      </c>
      <c r="Q176" s="374" t="e">
        <f t="shared" si="28"/>
        <v>#N/A</v>
      </c>
      <c r="R176" s="57"/>
      <c r="S176" s="57"/>
      <c r="T176" s="57"/>
      <c r="U176" s="57"/>
      <c r="V176" s="57"/>
      <c r="W176" s="57"/>
      <c r="X176" s="57"/>
      <c r="Y176" s="57"/>
      <c r="Z176" s="57"/>
      <c r="AA176" s="57"/>
      <c r="AB176" s="57"/>
      <c r="AC176" s="57"/>
      <c r="AD176" s="361"/>
      <c r="AE176" s="57"/>
      <c r="AF176" s="57"/>
      <c r="AG176" s="57"/>
      <c r="AH176" s="57"/>
      <c r="AI176" s="57"/>
      <c r="AJ176" s="57"/>
      <c r="AK176" s="57"/>
      <c r="AL176" s="57"/>
      <c r="AM176" s="57"/>
      <c r="AP176" s="57"/>
      <c r="AQ176" s="57"/>
      <c r="AR176" s="57"/>
    </row>
    <row r="177" spans="1:44" ht="13.5" thickBot="1" x14ac:dyDescent="0.25">
      <c r="A177" s="61" t="str">
        <f>IF(Teams&gt;=46, IF(Ballots = 3, "2", "Hide"), "Hide")</f>
        <v>Hide</v>
      </c>
      <c r="B177" s="386"/>
      <c r="C177" s="277"/>
      <c r="D177" s="278"/>
      <c r="E177" s="278"/>
      <c r="F177" s="75"/>
      <c r="G177" s="68" t="s">
        <v>51</v>
      </c>
      <c r="H177" s="27"/>
      <c r="I177" s="244"/>
      <c r="K177" s="366">
        <v>34</v>
      </c>
      <c r="L177" s="367" t="e">
        <f>MATCH(K177,'Ballot Entry'!$K$109:$K$143,0)</f>
        <v>#N/A</v>
      </c>
      <c r="M177" s="368" t="e">
        <f t="shared" si="24"/>
        <v>#N/A</v>
      </c>
      <c r="N177" s="368" t="e">
        <f t="shared" si="25"/>
        <v>#N/A</v>
      </c>
      <c r="O177" s="368" t="e">
        <f t="shared" si="26"/>
        <v>#N/A</v>
      </c>
      <c r="P177" s="368" t="e">
        <f t="shared" si="27"/>
        <v>#N/A</v>
      </c>
      <c r="Q177" s="374" t="e">
        <f t="shared" si="28"/>
        <v>#N/A</v>
      </c>
      <c r="R177" s="57"/>
      <c r="S177" s="57"/>
      <c r="T177" s="57"/>
      <c r="U177" s="57"/>
      <c r="V177" s="57"/>
      <c r="W177" s="57"/>
      <c r="X177" s="57"/>
      <c r="Y177" s="57"/>
      <c r="Z177" s="57"/>
      <c r="AA177" s="57"/>
      <c r="AB177" s="57"/>
      <c r="AC177" s="57"/>
      <c r="AD177" s="361"/>
      <c r="AE177" s="57"/>
      <c r="AF177" s="57"/>
      <c r="AG177" s="57"/>
      <c r="AH177" s="57"/>
      <c r="AI177" s="57"/>
      <c r="AJ177" s="57"/>
      <c r="AK177" s="57"/>
      <c r="AL177" s="57"/>
      <c r="AM177" s="57"/>
      <c r="AP177" s="57"/>
      <c r="AQ177" s="57"/>
      <c r="AR177" s="57"/>
    </row>
    <row r="178" spans="1:44" ht="15" thickTop="1" x14ac:dyDescent="0.3">
      <c r="A178" s="62" t="str">
        <f>IF(Teams&gt;=48, "2", "Hide")</f>
        <v>Hide</v>
      </c>
      <c r="B178" s="387">
        <f>B72</f>
        <v>0</v>
      </c>
      <c r="C178" s="279" t="s">
        <v>220</v>
      </c>
      <c r="D178" s="280"/>
      <c r="E178" s="279" t="s">
        <v>221</v>
      </c>
      <c r="F178" s="76"/>
      <c r="G178" s="69" t="s">
        <v>49</v>
      </c>
      <c r="H178" s="28"/>
      <c r="I178" s="245"/>
      <c r="K178" s="375">
        <v>35</v>
      </c>
      <c r="L178" s="376" t="e">
        <f>MATCH(K178,'Ballot Entry'!$K$109:$K$143,0)</f>
        <v>#N/A</v>
      </c>
      <c r="M178" s="377" t="e">
        <f t="shared" si="24"/>
        <v>#N/A</v>
      </c>
      <c r="N178" s="377" t="e">
        <f t="shared" si="25"/>
        <v>#N/A</v>
      </c>
      <c r="O178" s="377" t="e">
        <f t="shared" si="26"/>
        <v>#N/A</v>
      </c>
      <c r="P178" s="377" t="e">
        <f t="shared" si="27"/>
        <v>#N/A</v>
      </c>
      <c r="Q178" s="378" t="e">
        <f t="shared" si="28"/>
        <v>#N/A</v>
      </c>
      <c r="R178" s="57"/>
      <c r="S178" s="57"/>
      <c r="T178" s="57"/>
      <c r="U178" s="57"/>
      <c r="V178" s="57"/>
      <c r="W178" s="57"/>
      <c r="X178" s="57"/>
      <c r="Y178" s="57"/>
      <c r="Z178" s="57"/>
      <c r="AA178" s="57"/>
      <c r="AB178" s="57"/>
      <c r="AC178" s="57"/>
      <c r="AD178" s="361"/>
      <c r="AE178" s="57"/>
      <c r="AF178" s="57"/>
      <c r="AG178" s="57"/>
      <c r="AH178" s="57"/>
      <c r="AI178" s="57"/>
      <c r="AJ178" s="57"/>
      <c r="AK178" s="57"/>
      <c r="AL178" s="57"/>
      <c r="AM178" s="57"/>
      <c r="AP178" s="57"/>
      <c r="AQ178" s="57"/>
      <c r="AR178" s="57"/>
    </row>
    <row r="179" spans="1:44" x14ac:dyDescent="0.2">
      <c r="A179" s="63" t="str">
        <f>IF(Teams&gt;=48, "2", "Hide")</f>
        <v>Hide</v>
      </c>
      <c r="B179" s="386"/>
      <c r="G179" s="68" t="s">
        <v>50</v>
      </c>
      <c r="H179" s="29"/>
      <c r="I179" s="246"/>
      <c r="K179" s="370">
        <v>1</v>
      </c>
      <c r="L179" s="371">
        <f>MATCH(K179,'Ballot Entry'!$L$109:$L$143,0)</f>
        <v>6</v>
      </c>
      <c r="M179" s="372">
        <f t="shared" ref="M179:M213" si="29">INDEX(Round2,$L179,4)</f>
        <v>1029</v>
      </c>
      <c r="N179" s="372">
        <f t="shared" ref="N179" si="30">INDEX(Round2,L179,3)</f>
        <v>1217</v>
      </c>
      <c r="O179" s="372">
        <f t="shared" ref="O179:O213" si="31">INDEX(Round2,$L179,5)*-1</f>
        <v>6</v>
      </c>
      <c r="P179" s="372">
        <f t="shared" ref="P179:P213" si="32">INDEX(Round2,$L179,6)*-1</f>
        <v>3</v>
      </c>
      <c r="Q179" s="373">
        <f t="shared" ref="Q179:Q213" si="33">INDEX(Round2,$L179,7)*-1</f>
        <v>0</v>
      </c>
      <c r="R179" s="57"/>
      <c r="S179" s="57"/>
      <c r="T179" s="158" t="e">
        <f>VLOOKUP(1490,Round2D,2,FALSE)</f>
        <v>#N/A</v>
      </c>
      <c r="U179" s="57"/>
      <c r="V179" s="57"/>
      <c r="W179" s="57"/>
      <c r="X179" s="57"/>
      <c r="Y179" s="57"/>
      <c r="Z179" s="57"/>
      <c r="AA179" s="57"/>
      <c r="AB179" s="57"/>
      <c r="AC179" s="57"/>
      <c r="AD179" s="361"/>
      <c r="AE179" s="57"/>
      <c r="AF179" s="57"/>
      <c r="AG179" s="57"/>
      <c r="AH179" s="57"/>
      <c r="AI179" s="57"/>
      <c r="AJ179" s="57"/>
      <c r="AK179" s="57"/>
      <c r="AL179" s="57"/>
      <c r="AM179" s="57"/>
      <c r="AP179" s="57"/>
      <c r="AQ179" s="57"/>
      <c r="AR179" s="57"/>
    </row>
    <row r="180" spans="1:44" ht="13.5" thickBot="1" x14ac:dyDescent="0.25">
      <c r="A180" s="64" t="str">
        <f>IF(Teams&gt;=48, IF(Ballots = 3, "2", "Hide"), "Hide")</f>
        <v>Hide</v>
      </c>
      <c r="B180" s="388"/>
      <c r="C180" s="281"/>
      <c r="D180" s="282"/>
      <c r="E180" s="282"/>
      <c r="F180" s="77"/>
      <c r="G180" s="70" t="s">
        <v>51</v>
      </c>
      <c r="H180" s="30"/>
      <c r="I180" s="247"/>
      <c r="K180" s="366">
        <v>2</v>
      </c>
      <c r="L180" s="367">
        <f>MATCH(K180,'Ballot Entry'!$L$109:$L$143,0)</f>
        <v>3</v>
      </c>
      <c r="M180" s="368">
        <f t="shared" si="29"/>
        <v>1258</v>
      </c>
      <c r="N180" s="368">
        <f t="shared" ref="N180:N208" si="34">INDEX(Round2,L180,3)</f>
        <v>1001</v>
      </c>
      <c r="O180" s="368">
        <f t="shared" si="31"/>
        <v>-2</v>
      </c>
      <c r="P180" s="368">
        <f t="shared" si="32"/>
        <v>-12</v>
      </c>
      <c r="Q180" s="374">
        <f t="shared" si="33"/>
        <v>0</v>
      </c>
      <c r="R180" s="57"/>
      <c r="S180" s="57"/>
      <c r="T180" s="57"/>
      <c r="U180" s="57"/>
      <c r="V180" s="57"/>
      <c r="W180" s="57"/>
      <c r="X180" s="57"/>
      <c r="Y180" s="57"/>
      <c r="Z180" s="57"/>
      <c r="AA180" s="57"/>
      <c r="AB180" s="57"/>
      <c r="AC180" s="57"/>
      <c r="AD180" s="361"/>
      <c r="AE180" s="57"/>
      <c r="AF180" s="57"/>
      <c r="AG180" s="57"/>
      <c r="AH180" s="57"/>
      <c r="AI180" s="57"/>
      <c r="AJ180" s="57"/>
      <c r="AK180" s="57"/>
      <c r="AL180" s="57"/>
      <c r="AM180" s="57"/>
      <c r="AP180" s="57"/>
      <c r="AQ180" s="57"/>
      <c r="AR180" s="57"/>
    </row>
    <row r="181" spans="1:44" ht="15" thickTop="1" x14ac:dyDescent="0.3">
      <c r="A181" s="60" t="str">
        <f>IF(Teams&gt;=50, "2", "Hide")</f>
        <v>Hide</v>
      </c>
      <c r="B181" s="384">
        <f>B75</f>
        <v>0</v>
      </c>
      <c r="C181" s="276" t="s">
        <v>220</v>
      </c>
      <c r="D181" s="384"/>
      <c r="E181" s="276" t="s">
        <v>221</v>
      </c>
      <c r="F181" s="74"/>
      <c r="G181" s="67" t="s">
        <v>49</v>
      </c>
      <c r="H181" s="25"/>
      <c r="I181" s="242"/>
      <c r="K181" s="366">
        <v>3</v>
      </c>
      <c r="L181" s="367">
        <f>MATCH(K181,'Ballot Entry'!$L$109:$L$143,0)</f>
        <v>7</v>
      </c>
      <c r="M181" s="368">
        <f t="shared" si="29"/>
        <v>1262</v>
      </c>
      <c r="N181" s="368">
        <f t="shared" si="34"/>
        <v>1616</v>
      </c>
      <c r="O181" s="368">
        <f t="shared" si="31"/>
        <v>-1</v>
      </c>
      <c r="P181" s="368">
        <f t="shared" si="32"/>
        <v>0</v>
      </c>
      <c r="Q181" s="374">
        <f t="shared" si="33"/>
        <v>0</v>
      </c>
      <c r="R181" s="57"/>
      <c r="S181" s="57"/>
      <c r="T181" s="57"/>
      <c r="U181" s="57"/>
      <c r="V181" s="57"/>
      <c r="W181" s="57"/>
      <c r="X181" s="57"/>
      <c r="Y181" s="57"/>
      <c r="Z181" s="57"/>
      <c r="AA181" s="57"/>
      <c r="AB181" s="57"/>
      <c r="AC181" s="57"/>
      <c r="AD181" s="361"/>
      <c r="AE181" s="57"/>
      <c r="AF181" s="57"/>
      <c r="AG181" s="57"/>
      <c r="AH181" s="57"/>
      <c r="AI181" s="57"/>
      <c r="AJ181" s="57"/>
      <c r="AK181" s="57"/>
      <c r="AL181" s="57"/>
      <c r="AM181" s="57"/>
      <c r="AP181" s="57"/>
      <c r="AQ181" s="57"/>
      <c r="AR181" s="57"/>
    </row>
    <row r="182" spans="1:44" x14ac:dyDescent="0.2">
      <c r="A182" s="61" t="str">
        <f>IF(Teams&gt;=50, "2", "Hide")</f>
        <v>Hide</v>
      </c>
      <c r="G182" s="68" t="s">
        <v>50</v>
      </c>
      <c r="H182" s="26"/>
      <c r="I182" s="243"/>
      <c r="K182" s="366">
        <v>4</v>
      </c>
      <c r="L182" s="367">
        <f>MATCH(K182,'Ballot Entry'!$L$109:$L$143,0)</f>
        <v>5</v>
      </c>
      <c r="M182" s="368">
        <f t="shared" si="29"/>
        <v>1268</v>
      </c>
      <c r="N182" s="368">
        <f t="shared" si="34"/>
        <v>1224</v>
      </c>
      <c r="O182" s="368">
        <f t="shared" si="31"/>
        <v>-4</v>
      </c>
      <c r="P182" s="368">
        <f t="shared" si="32"/>
        <v>11</v>
      </c>
      <c r="Q182" s="374">
        <f t="shared" si="33"/>
        <v>0</v>
      </c>
      <c r="R182" s="57"/>
      <c r="S182" s="57"/>
      <c r="T182" s="57"/>
      <c r="U182" s="57"/>
      <c r="V182" s="57"/>
      <c r="W182" s="57"/>
      <c r="X182" s="57"/>
      <c r="Y182" s="57"/>
      <c r="Z182" s="57"/>
      <c r="AA182" s="57"/>
      <c r="AB182" s="57"/>
      <c r="AC182" s="57"/>
      <c r="AD182" s="361"/>
      <c r="AE182" s="57"/>
      <c r="AF182" s="57"/>
      <c r="AG182" s="57"/>
      <c r="AH182" s="57"/>
      <c r="AI182" s="57"/>
      <c r="AJ182" s="57"/>
      <c r="AK182" s="57"/>
      <c r="AL182" s="57"/>
      <c r="AM182" s="57"/>
      <c r="AP182" s="57"/>
      <c r="AQ182" s="57"/>
      <c r="AR182" s="57"/>
    </row>
    <row r="183" spans="1:44" ht="13.5" thickBot="1" x14ac:dyDescent="0.25">
      <c r="A183" s="61" t="str">
        <f>IF(Teams&gt;=50, IF(Ballots = 3, "2", "Hide"), "Hide")</f>
        <v>Hide</v>
      </c>
      <c r="B183" s="386"/>
      <c r="C183" s="277"/>
      <c r="D183" s="278"/>
      <c r="E183" s="278"/>
      <c r="F183" s="75"/>
      <c r="G183" s="68" t="s">
        <v>51</v>
      </c>
      <c r="H183" s="27"/>
      <c r="I183" s="244"/>
      <c r="K183" s="366">
        <v>5</v>
      </c>
      <c r="L183" s="367">
        <f>MATCH(K183,'Ballot Entry'!$L$109:$L$143,0)</f>
        <v>2</v>
      </c>
      <c r="M183" s="368">
        <f t="shared" si="29"/>
        <v>1410</v>
      </c>
      <c r="N183" s="368">
        <f t="shared" si="34"/>
        <v>1693</v>
      </c>
      <c r="O183" s="368">
        <f t="shared" si="31"/>
        <v>-1</v>
      </c>
      <c r="P183" s="368">
        <f t="shared" si="32"/>
        <v>-8</v>
      </c>
      <c r="Q183" s="374">
        <f t="shared" si="33"/>
        <v>0</v>
      </c>
      <c r="R183" s="57"/>
      <c r="S183" s="57"/>
      <c r="T183" s="57"/>
      <c r="U183" s="57"/>
      <c r="V183" s="57"/>
      <c r="W183" s="57"/>
      <c r="X183" s="57"/>
      <c r="Y183" s="57"/>
      <c r="Z183" s="57"/>
      <c r="AA183" s="57"/>
      <c r="AB183" s="57"/>
      <c r="AC183" s="57"/>
      <c r="AD183" s="361"/>
      <c r="AE183" s="57"/>
      <c r="AF183" s="57"/>
      <c r="AG183" s="57"/>
      <c r="AH183" s="57"/>
      <c r="AI183" s="57"/>
      <c r="AJ183" s="57"/>
      <c r="AK183" s="57"/>
      <c r="AL183" s="57"/>
      <c r="AM183" s="57"/>
      <c r="AP183" s="57"/>
      <c r="AQ183" s="57"/>
      <c r="AR183" s="57"/>
    </row>
    <row r="184" spans="1:44" ht="15" thickTop="1" x14ac:dyDescent="0.3">
      <c r="A184" s="62" t="str">
        <f>IF(Teams&gt;=52, "2", "Hide")</f>
        <v>Hide</v>
      </c>
      <c r="B184" s="387">
        <f>B78</f>
        <v>0</v>
      </c>
      <c r="C184" s="279" t="s">
        <v>220</v>
      </c>
      <c r="D184" s="280"/>
      <c r="E184" s="279" t="s">
        <v>221</v>
      </c>
      <c r="F184" s="76"/>
      <c r="G184" s="69" t="s">
        <v>49</v>
      </c>
      <c r="H184" s="28"/>
      <c r="I184" s="245"/>
      <c r="K184" s="366">
        <v>6</v>
      </c>
      <c r="L184" s="367">
        <f>MATCH(K184,'Ballot Entry'!$L$109:$L$143,0)</f>
        <v>1</v>
      </c>
      <c r="M184" s="368">
        <f t="shared" si="29"/>
        <v>1489</v>
      </c>
      <c r="N184" s="368">
        <f t="shared" si="34"/>
        <v>1517</v>
      </c>
      <c r="O184" s="368">
        <f t="shared" si="31"/>
        <v>-3</v>
      </c>
      <c r="P184" s="368">
        <f t="shared" si="32"/>
        <v>-4</v>
      </c>
      <c r="Q184" s="374">
        <f t="shared" si="33"/>
        <v>0</v>
      </c>
      <c r="R184" s="57"/>
      <c r="S184" s="57"/>
      <c r="T184" s="57"/>
      <c r="U184" s="57"/>
      <c r="V184" s="57"/>
      <c r="W184" s="57"/>
      <c r="X184" s="57"/>
      <c r="Y184" s="57"/>
      <c r="Z184" s="57"/>
      <c r="AA184" s="57"/>
      <c r="AB184" s="57"/>
      <c r="AC184" s="57"/>
      <c r="AD184" s="361"/>
      <c r="AE184" s="57"/>
      <c r="AF184" s="57"/>
      <c r="AG184" s="57"/>
      <c r="AH184" s="57"/>
      <c r="AI184" s="57"/>
      <c r="AJ184" s="57"/>
      <c r="AK184" s="57"/>
      <c r="AL184" s="57"/>
      <c r="AM184" s="57"/>
      <c r="AP184" s="57"/>
      <c r="AQ184" s="57"/>
      <c r="AR184" s="57"/>
    </row>
    <row r="185" spans="1:44" x14ac:dyDescent="0.2">
      <c r="A185" s="63" t="str">
        <f>IF(Teams&gt;=52, "2", "Hide")</f>
        <v>Hide</v>
      </c>
      <c r="B185" s="386"/>
      <c r="G185" s="68" t="s">
        <v>50</v>
      </c>
      <c r="H185" s="29"/>
      <c r="I185" s="246"/>
      <c r="K185" s="366">
        <v>7</v>
      </c>
      <c r="L185" s="367">
        <f>MATCH(K185,'Ballot Entry'!$L$109:$L$143,0)</f>
        <v>9</v>
      </c>
      <c r="M185" s="368">
        <f t="shared" si="29"/>
        <v>1506</v>
      </c>
      <c r="N185" s="368">
        <f t="shared" si="34"/>
        <v>1078</v>
      </c>
      <c r="O185" s="368">
        <f t="shared" si="31"/>
        <v>4</v>
      </c>
      <c r="P185" s="368">
        <f t="shared" si="32"/>
        <v>-3</v>
      </c>
      <c r="Q185" s="374">
        <f t="shared" si="33"/>
        <v>0</v>
      </c>
      <c r="R185" s="57"/>
      <c r="S185" s="57"/>
      <c r="T185" s="57"/>
      <c r="U185" s="57"/>
      <c r="V185" s="57"/>
      <c r="W185" s="57"/>
      <c r="X185" s="57"/>
      <c r="Y185" s="57"/>
      <c r="Z185" s="57"/>
      <c r="AA185" s="57"/>
      <c r="AB185" s="57"/>
      <c r="AC185" s="57"/>
      <c r="AD185" s="361"/>
      <c r="AE185" s="57"/>
      <c r="AF185" s="57"/>
      <c r="AG185" s="57"/>
      <c r="AH185" s="57"/>
      <c r="AI185" s="57"/>
      <c r="AJ185" s="57"/>
      <c r="AK185" s="57"/>
      <c r="AL185" s="57"/>
      <c r="AM185" s="57"/>
      <c r="AP185" s="57"/>
      <c r="AQ185" s="57"/>
      <c r="AR185" s="57"/>
    </row>
    <row r="186" spans="1:44" ht="13.5" thickBot="1" x14ac:dyDescent="0.25">
      <c r="A186" s="64" t="str">
        <f>IF(Teams&gt;=52, IF(Ballots = 3, "2", "Hide"), "Hide")</f>
        <v>Hide</v>
      </c>
      <c r="B186" s="388"/>
      <c r="C186" s="281"/>
      <c r="D186" s="282"/>
      <c r="E186" s="282"/>
      <c r="F186" s="77"/>
      <c r="G186" s="70" t="s">
        <v>51</v>
      </c>
      <c r="H186" s="30"/>
      <c r="I186" s="247"/>
      <c r="K186" s="366">
        <v>8</v>
      </c>
      <c r="L186" s="367">
        <f>MATCH(K186,'Ballot Entry'!$L$109:$L$143,0)</f>
        <v>4</v>
      </c>
      <c r="M186" s="368">
        <f t="shared" si="29"/>
        <v>1557</v>
      </c>
      <c r="N186" s="368">
        <f t="shared" si="34"/>
        <v>1492</v>
      </c>
      <c r="O186" s="368">
        <f t="shared" si="31"/>
        <v>11</v>
      </c>
      <c r="P186" s="368">
        <f t="shared" si="32"/>
        <v>-3</v>
      </c>
      <c r="Q186" s="374">
        <f t="shared" si="33"/>
        <v>0</v>
      </c>
      <c r="R186" s="57"/>
      <c r="S186" s="57"/>
      <c r="T186" s="57"/>
      <c r="U186" s="57"/>
      <c r="V186" s="57"/>
      <c r="W186" s="57"/>
      <c r="X186" s="57"/>
      <c r="Y186" s="57"/>
      <c r="Z186" s="57"/>
      <c r="AA186" s="57"/>
      <c r="AB186" s="57"/>
      <c r="AC186" s="57"/>
      <c r="AD186" s="361"/>
      <c r="AE186" s="57"/>
      <c r="AF186" s="57"/>
      <c r="AG186" s="57"/>
      <c r="AH186" s="57"/>
      <c r="AI186" s="57"/>
      <c r="AJ186" s="57"/>
      <c r="AK186" s="57"/>
      <c r="AL186" s="57"/>
      <c r="AM186" s="57"/>
      <c r="AP186" s="57"/>
      <c r="AQ186" s="57"/>
      <c r="AR186" s="57"/>
    </row>
    <row r="187" spans="1:44" ht="15" thickTop="1" x14ac:dyDescent="0.3">
      <c r="A187" s="60" t="str">
        <f>IF(Teams&gt;=54, "2", "Hide")</f>
        <v>Hide</v>
      </c>
      <c r="B187" s="384">
        <f>B81</f>
        <v>0</v>
      </c>
      <c r="C187" s="276" t="s">
        <v>220</v>
      </c>
      <c r="D187" s="384"/>
      <c r="E187" s="276" t="s">
        <v>221</v>
      </c>
      <c r="F187" s="74"/>
      <c r="G187" s="67" t="s">
        <v>49</v>
      </c>
      <c r="H187" s="25"/>
      <c r="I187" s="242"/>
      <c r="K187" s="366">
        <v>9</v>
      </c>
      <c r="L187" s="367">
        <f>MATCH(K187,'Ballot Entry'!$L$109:$L$143,0)</f>
        <v>8</v>
      </c>
      <c r="M187" s="368">
        <f t="shared" si="29"/>
        <v>1577</v>
      </c>
      <c r="N187" s="368">
        <f t="shared" si="34"/>
        <v>1051</v>
      </c>
      <c r="O187" s="368">
        <f t="shared" si="31"/>
        <v>6</v>
      </c>
      <c r="P187" s="368">
        <f t="shared" si="32"/>
        <v>13</v>
      </c>
      <c r="Q187" s="374">
        <f t="shared" si="33"/>
        <v>0</v>
      </c>
      <c r="R187" s="57"/>
      <c r="S187" s="57"/>
      <c r="T187" s="57"/>
      <c r="U187" s="57"/>
      <c r="V187" s="57"/>
      <c r="W187" s="57"/>
      <c r="X187" s="57"/>
      <c r="Y187" s="57"/>
      <c r="Z187" s="57"/>
      <c r="AA187" s="57"/>
      <c r="AB187" s="57"/>
      <c r="AC187" s="57"/>
      <c r="AD187" s="361"/>
      <c r="AE187" s="57"/>
      <c r="AF187" s="57"/>
      <c r="AG187" s="57"/>
      <c r="AH187" s="57"/>
      <c r="AI187" s="57"/>
      <c r="AJ187" s="57"/>
      <c r="AK187" s="57"/>
      <c r="AL187" s="57"/>
      <c r="AM187" s="57"/>
      <c r="AP187" s="57"/>
      <c r="AQ187" s="57"/>
      <c r="AR187" s="57"/>
    </row>
    <row r="188" spans="1:44" x14ac:dyDescent="0.2">
      <c r="A188" s="61" t="str">
        <f>IF(Teams&gt;=54, "2", "Hide")</f>
        <v>Hide</v>
      </c>
      <c r="G188" s="68" t="s">
        <v>50</v>
      </c>
      <c r="H188" s="26"/>
      <c r="I188" s="243"/>
      <c r="K188" s="366">
        <v>10</v>
      </c>
      <c r="L188" s="367">
        <f>MATCH(K188,'Ballot Entry'!$L$109:$L$143,0)</f>
        <v>10</v>
      </c>
      <c r="M188" s="368">
        <f t="shared" si="29"/>
        <v>9999</v>
      </c>
      <c r="N188" s="368">
        <f t="shared" si="34"/>
        <v>9999</v>
      </c>
      <c r="O188" s="368">
        <f t="shared" si="31"/>
        <v>0</v>
      </c>
      <c r="P188" s="368">
        <f t="shared" si="32"/>
        <v>0</v>
      </c>
      <c r="Q188" s="374">
        <f t="shared" si="33"/>
        <v>0</v>
      </c>
      <c r="R188" s="57"/>
      <c r="S188" s="57"/>
      <c r="T188" s="57"/>
      <c r="U188" s="57"/>
      <c r="V188" s="57"/>
      <c r="W188" s="57"/>
      <c r="X188" s="57"/>
      <c r="Y188" s="57"/>
      <c r="Z188" s="57"/>
      <c r="AA188" s="57"/>
      <c r="AB188" s="57"/>
      <c r="AC188" s="57"/>
      <c r="AD188" s="361"/>
      <c r="AE188" s="57"/>
      <c r="AF188" s="57"/>
      <c r="AG188" s="57"/>
      <c r="AH188" s="57"/>
      <c r="AI188" s="57"/>
      <c r="AJ188" s="57"/>
      <c r="AK188" s="57"/>
      <c r="AL188" s="57"/>
      <c r="AM188" s="57"/>
      <c r="AP188" s="57"/>
      <c r="AQ188" s="57"/>
      <c r="AR188" s="57"/>
    </row>
    <row r="189" spans="1:44" ht="13.5" thickBot="1" x14ac:dyDescent="0.25">
      <c r="A189" s="61" t="str">
        <f>IF(Teams&gt;=54, IF(Ballots = 3, "2", "Hide"), "Hide")</f>
        <v>Hide</v>
      </c>
      <c r="B189" s="386"/>
      <c r="C189" s="277"/>
      <c r="D189" s="278"/>
      <c r="E189" s="278"/>
      <c r="F189" s="75"/>
      <c r="G189" s="68" t="s">
        <v>51</v>
      </c>
      <c r="H189" s="27"/>
      <c r="I189" s="244"/>
      <c r="K189" s="366">
        <v>11</v>
      </c>
      <c r="L189" s="367" t="e">
        <f>MATCH(K189,'Ballot Entry'!$L$109:$L$143,0)</f>
        <v>#N/A</v>
      </c>
      <c r="M189" s="368" t="e">
        <f t="shared" si="29"/>
        <v>#N/A</v>
      </c>
      <c r="N189" s="368" t="e">
        <f t="shared" si="34"/>
        <v>#N/A</v>
      </c>
      <c r="O189" s="368" t="e">
        <f t="shared" si="31"/>
        <v>#N/A</v>
      </c>
      <c r="P189" s="368" t="e">
        <f t="shared" si="32"/>
        <v>#N/A</v>
      </c>
      <c r="Q189" s="374" t="e">
        <f t="shared" si="33"/>
        <v>#N/A</v>
      </c>
      <c r="R189" s="57"/>
      <c r="S189" s="57"/>
      <c r="T189" s="57"/>
      <c r="U189" s="57"/>
      <c r="V189" s="57"/>
      <c r="W189" s="57"/>
      <c r="X189" s="57"/>
      <c r="Y189" s="57"/>
      <c r="Z189" s="57"/>
      <c r="AA189" s="57"/>
      <c r="AB189" s="57"/>
      <c r="AC189" s="57"/>
      <c r="AD189" s="361"/>
      <c r="AE189" s="57"/>
      <c r="AF189" s="57"/>
      <c r="AG189" s="57"/>
      <c r="AH189" s="57"/>
      <c r="AI189" s="57"/>
      <c r="AJ189" s="57"/>
      <c r="AK189" s="57"/>
      <c r="AL189" s="57"/>
      <c r="AM189" s="57"/>
      <c r="AP189" s="57"/>
      <c r="AQ189" s="57"/>
      <c r="AR189" s="57"/>
    </row>
    <row r="190" spans="1:44" ht="15" thickTop="1" x14ac:dyDescent="0.3">
      <c r="A190" s="62" t="str">
        <f>IF(Teams&gt;=56, "2", "Hide")</f>
        <v>Hide</v>
      </c>
      <c r="B190" s="387">
        <f>B84</f>
        <v>0</v>
      </c>
      <c r="C190" s="279" t="s">
        <v>220</v>
      </c>
      <c r="D190" s="280"/>
      <c r="E190" s="279" t="s">
        <v>221</v>
      </c>
      <c r="F190" s="76"/>
      <c r="G190" s="69" t="s">
        <v>49</v>
      </c>
      <c r="H190" s="28"/>
      <c r="I190" s="245"/>
      <c r="K190" s="366">
        <v>12</v>
      </c>
      <c r="L190" s="367" t="e">
        <f>MATCH(K190,'Ballot Entry'!$L$109:$L$143,0)</f>
        <v>#N/A</v>
      </c>
      <c r="M190" s="368" t="e">
        <f t="shared" si="29"/>
        <v>#N/A</v>
      </c>
      <c r="N190" s="368" t="e">
        <f t="shared" si="34"/>
        <v>#N/A</v>
      </c>
      <c r="O190" s="368" t="e">
        <f t="shared" si="31"/>
        <v>#N/A</v>
      </c>
      <c r="P190" s="368" t="e">
        <f t="shared" si="32"/>
        <v>#N/A</v>
      </c>
      <c r="Q190" s="374" t="e">
        <f t="shared" si="33"/>
        <v>#N/A</v>
      </c>
      <c r="R190" s="57"/>
      <c r="S190" s="57"/>
      <c r="T190" s="57"/>
      <c r="U190" s="57"/>
      <c r="V190" s="57"/>
      <c r="W190" s="57"/>
      <c r="X190" s="57"/>
      <c r="Y190" s="57"/>
      <c r="Z190" s="57"/>
      <c r="AA190" s="57"/>
      <c r="AB190" s="57"/>
      <c r="AC190" s="57"/>
      <c r="AD190" s="361"/>
      <c r="AE190" s="57"/>
      <c r="AF190" s="57"/>
      <c r="AG190" s="57"/>
      <c r="AH190" s="57"/>
      <c r="AI190" s="57"/>
      <c r="AJ190" s="57"/>
      <c r="AK190" s="57"/>
      <c r="AL190" s="57"/>
      <c r="AM190" s="57"/>
      <c r="AP190" s="57"/>
      <c r="AQ190" s="57"/>
      <c r="AR190" s="57"/>
    </row>
    <row r="191" spans="1:44" x14ac:dyDescent="0.2">
      <c r="A191" s="63" t="str">
        <f>IF(Teams&gt;=56, "2", "Hide")</f>
        <v>Hide</v>
      </c>
      <c r="B191" s="386"/>
      <c r="G191" s="68" t="s">
        <v>50</v>
      </c>
      <c r="H191" s="29"/>
      <c r="I191" s="246"/>
      <c r="K191" s="366">
        <v>13</v>
      </c>
      <c r="L191" s="367" t="e">
        <f>MATCH(K191,'Ballot Entry'!$L$109:$L$143,0)</f>
        <v>#N/A</v>
      </c>
      <c r="M191" s="368" t="e">
        <f t="shared" si="29"/>
        <v>#N/A</v>
      </c>
      <c r="N191" s="368" t="e">
        <f t="shared" si="34"/>
        <v>#N/A</v>
      </c>
      <c r="O191" s="368" t="e">
        <f t="shared" si="31"/>
        <v>#N/A</v>
      </c>
      <c r="P191" s="368" t="e">
        <f t="shared" si="32"/>
        <v>#N/A</v>
      </c>
      <c r="Q191" s="374" t="e">
        <f t="shared" si="33"/>
        <v>#N/A</v>
      </c>
      <c r="R191" s="57"/>
      <c r="S191" s="57"/>
      <c r="T191" s="57"/>
      <c r="U191" s="57"/>
      <c r="V191" s="57"/>
      <c r="W191" s="57"/>
      <c r="X191" s="57"/>
      <c r="Y191" s="57"/>
      <c r="Z191" s="57"/>
      <c r="AA191" s="57"/>
      <c r="AB191" s="57"/>
      <c r="AC191" s="57"/>
      <c r="AD191" s="361"/>
      <c r="AE191" s="57"/>
      <c r="AF191" s="57"/>
      <c r="AG191" s="57"/>
      <c r="AH191" s="57"/>
      <c r="AI191" s="57"/>
      <c r="AJ191" s="57"/>
      <c r="AK191" s="57"/>
      <c r="AL191" s="57"/>
      <c r="AM191" s="57"/>
      <c r="AP191" s="57"/>
      <c r="AQ191" s="57"/>
      <c r="AR191" s="57"/>
    </row>
    <row r="192" spans="1:44" ht="13.5" thickBot="1" x14ac:dyDescent="0.25">
      <c r="A192" s="64" t="str">
        <f>IF(Teams&gt;=56, IF(Ballots = 3, "2", "Hide"), "Hide")</f>
        <v>Hide</v>
      </c>
      <c r="B192" s="388"/>
      <c r="C192" s="281"/>
      <c r="D192" s="282"/>
      <c r="E192" s="282"/>
      <c r="F192" s="77"/>
      <c r="G192" s="70" t="s">
        <v>51</v>
      </c>
      <c r="H192" s="30"/>
      <c r="I192" s="247"/>
      <c r="K192" s="366">
        <v>14</v>
      </c>
      <c r="L192" s="367" t="e">
        <f>MATCH(K192,'Ballot Entry'!$L$109:$L$143,0)</f>
        <v>#N/A</v>
      </c>
      <c r="M192" s="368" t="e">
        <f t="shared" si="29"/>
        <v>#N/A</v>
      </c>
      <c r="N192" s="368" t="e">
        <f t="shared" si="34"/>
        <v>#N/A</v>
      </c>
      <c r="O192" s="368" t="e">
        <f t="shared" si="31"/>
        <v>#N/A</v>
      </c>
      <c r="P192" s="368" t="e">
        <f t="shared" si="32"/>
        <v>#N/A</v>
      </c>
      <c r="Q192" s="374" t="e">
        <f t="shared" si="33"/>
        <v>#N/A</v>
      </c>
      <c r="R192" s="57"/>
      <c r="S192" s="57"/>
      <c r="T192" s="57"/>
      <c r="U192" s="57"/>
      <c r="V192" s="57"/>
      <c r="W192" s="57"/>
      <c r="X192" s="57"/>
      <c r="Y192" s="57"/>
      <c r="Z192" s="57"/>
      <c r="AA192" s="57"/>
      <c r="AB192" s="57"/>
      <c r="AC192" s="57"/>
      <c r="AD192" s="361"/>
      <c r="AE192" s="57"/>
      <c r="AF192" s="57"/>
      <c r="AG192" s="57"/>
      <c r="AH192" s="57"/>
      <c r="AI192" s="57"/>
      <c r="AJ192" s="57"/>
      <c r="AK192" s="57"/>
      <c r="AL192" s="57"/>
      <c r="AM192" s="57"/>
      <c r="AP192" s="57"/>
      <c r="AQ192" s="57"/>
      <c r="AR192" s="57"/>
    </row>
    <row r="193" spans="1:44" ht="15" thickTop="1" x14ac:dyDescent="0.3">
      <c r="A193" s="60" t="str">
        <f>IF(Teams&gt;=58, "2", "Hide")</f>
        <v>Hide</v>
      </c>
      <c r="B193" s="384">
        <f>B87</f>
        <v>0</v>
      </c>
      <c r="C193" s="276" t="s">
        <v>220</v>
      </c>
      <c r="D193" s="384"/>
      <c r="E193" s="276" t="s">
        <v>221</v>
      </c>
      <c r="F193" s="74"/>
      <c r="G193" s="67" t="s">
        <v>49</v>
      </c>
      <c r="H193" s="25"/>
      <c r="I193" s="242"/>
      <c r="K193" s="366">
        <v>15</v>
      </c>
      <c r="L193" s="367" t="e">
        <f>MATCH(K193,'Ballot Entry'!$L$109:$L$143,0)</f>
        <v>#N/A</v>
      </c>
      <c r="M193" s="368" t="e">
        <f t="shared" si="29"/>
        <v>#N/A</v>
      </c>
      <c r="N193" s="368" t="e">
        <f t="shared" si="34"/>
        <v>#N/A</v>
      </c>
      <c r="O193" s="368" t="e">
        <f t="shared" si="31"/>
        <v>#N/A</v>
      </c>
      <c r="P193" s="368" t="e">
        <f t="shared" si="32"/>
        <v>#N/A</v>
      </c>
      <c r="Q193" s="374" t="e">
        <f t="shared" si="33"/>
        <v>#N/A</v>
      </c>
      <c r="R193" s="57"/>
      <c r="S193" s="57"/>
      <c r="T193" s="57"/>
      <c r="U193" s="57"/>
      <c r="V193" s="57"/>
      <c r="W193" s="57"/>
      <c r="X193" s="57"/>
      <c r="Y193" s="57"/>
      <c r="Z193" s="57"/>
      <c r="AA193" s="57"/>
      <c r="AB193" s="57"/>
      <c r="AC193" s="57"/>
      <c r="AD193" s="361"/>
      <c r="AE193" s="57"/>
      <c r="AF193" s="57"/>
      <c r="AG193" s="57"/>
      <c r="AH193" s="57"/>
      <c r="AI193" s="57"/>
      <c r="AJ193" s="57"/>
      <c r="AK193" s="57"/>
      <c r="AL193" s="57"/>
      <c r="AM193" s="57"/>
      <c r="AP193" s="57"/>
      <c r="AQ193" s="57"/>
      <c r="AR193" s="57"/>
    </row>
    <row r="194" spans="1:44" x14ac:dyDescent="0.2">
      <c r="A194" s="61" t="str">
        <f>IF(Teams&gt;=58, "2", "Hide")</f>
        <v>Hide</v>
      </c>
      <c r="G194" s="68" t="s">
        <v>50</v>
      </c>
      <c r="H194" s="26"/>
      <c r="I194" s="243"/>
      <c r="K194" s="366">
        <v>16</v>
      </c>
      <c r="L194" s="367" t="e">
        <f>MATCH(K194,'Ballot Entry'!$L$109:$L$143,0)</f>
        <v>#N/A</v>
      </c>
      <c r="M194" s="368" t="e">
        <f t="shared" si="29"/>
        <v>#N/A</v>
      </c>
      <c r="N194" s="368" t="e">
        <f t="shared" si="34"/>
        <v>#N/A</v>
      </c>
      <c r="O194" s="368" t="e">
        <f t="shared" si="31"/>
        <v>#N/A</v>
      </c>
      <c r="P194" s="368" t="e">
        <f t="shared" si="32"/>
        <v>#N/A</v>
      </c>
      <c r="Q194" s="374" t="e">
        <f t="shared" si="33"/>
        <v>#N/A</v>
      </c>
      <c r="R194" s="57"/>
      <c r="S194" s="57"/>
      <c r="T194" s="57"/>
      <c r="U194" s="57"/>
      <c r="V194" s="57"/>
      <c r="W194" s="57"/>
      <c r="X194" s="57"/>
      <c r="Y194" s="57"/>
      <c r="Z194" s="57"/>
      <c r="AA194" s="57"/>
      <c r="AB194" s="57"/>
      <c r="AC194" s="57"/>
      <c r="AD194" s="361"/>
      <c r="AE194" s="57"/>
      <c r="AF194" s="57"/>
      <c r="AG194" s="57"/>
      <c r="AH194" s="57"/>
      <c r="AI194" s="57"/>
      <c r="AJ194" s="57"/>
      <c r="AK194" s="57"/>
      <c r="AL194" s="57"/>
      <c r="AM194" s="57"/>
      <c r="AP194" s="57"/>
      <c r="AQ194" s="57"/>
      <c r="AR194" s="57"/>
    </row>
    <row r="195" spans="1:44" ht="13.5" thickBot="1" x14ac:dyDescent="0.25">
      <c r="A195" s="61" t="str">
        <f>IF(Teams&gt;=58, IF(Ballots = 3, "2", "Hide"), "Hide")</f>
        <v>Hide</v>
      </c>
      <c r="B195" s="386"/>
      <c r="C195" s="277"/>
      <c r="D195" s="278"/>
      <c r="E195" s="278"/>
      <c r="F195" s="75"/>
      <c r="G195" s="68" t="s">
        <v>51</v>
      </c>
      <c r="H195" s="27"/>
      <c r="I195" s="244"/>
      <c r="K195" s="366">
        <v>17</v>
      </c>
      <c r="L195" s="367" t="e">
        <f>MATCH(K195,'Ballot Entry'!$L$109:$L$143,0)</f>
        <v>#N/A</v>
      </c>
      <c r="M195" s="368" t="e">
        <f t="shared" si="29"/>
        <v>#N/A</v>
      </c>
      <c r="N195" s="368" t="e">
        <f t="shared" si="34"/>
        <v>#N/A</v>
      </c>
      <c r="O195" s="368" t="e">
        <f t="shared" si="31"/>
        <v>#N/A</v>
      </c>
      <c r="P195" s="368" t="e">
        <f t="shared" si="32"/>
        <v>#N/A</v>
      </c>
      <c r="Q195" s="374" t="e">
        <f t="shared" si="33"/>
        <v>#N/A</v>
      </c>
      <c r="R195" s="57"/>
      <c r="S195" s="57"/>
      <c r="T195" s="57"/>
      <c r="U195" s="57"/>
      <c r="V195" s="57"/>
      <c r="W195" s="57"/>
      <c r="X195" s="57"/>
      <c r="Y195" s="57"/>
      <c r="Z195" s="57"/>
      <c r="AA195" s="57"/>
      <c r="AB195" s="57"/>
      <c r="AC195" s="57"/>
      <c r="AD195" s="361"/>
      <c r="AE195" s="57"/>
      <c r="AF195" s="57"/>
      <c r="AG195" s="57"/>
      <c r="AH195" s="57"/>
      <c r="AI195" s="57"/>
      <c r="AJ195" s="57"/>
      <c r="AK195" s="57"/>
      <c r="AL195" s="57"/>
      <c r="AM195" s="57"/>
      <c r="AP195" s="57"/>
      <c r="AQ195" s="57"/>
      <c r="AR195" s="57"/>
    </row>
    <row r="196" spans="1:44" ht="15" thickTop="1" x14ac:dyDescent="0.3">
      <c r="A196" s="62" t="str">
        <f>IF(Teams&gt;=60, "2", "Hide")</f>
        <v>Hide</v>
      </c>
      <c r="B196" s="387">
        <f>B90</f>
        <v>0</v>
      </c>
      <c r="C196" s="279" t="s">
        <v>220</v>
      </c>
      <c r="D196" s="280"/>
      <c r="E196" s="279" t="s">
        <v>221</v>
      </c>
      <c r="F196" s="76"/>
      <c r="G196" s="69" t="s">
        <v>49</v>
      </c>
      <c r="H196" s="28"/>
      <c r="I196" s="245"/>
      <c r="K196" s="366">
        <v>18</v>
      </c>
      <c r="L196" s="367" t="e">
        <f>MATCH(K196,'Ballot Entry'!$L$109:$L$143,0)</f>
        <v>#N/A</v>
      </c>
      <c r="M196" s="368" t="e">
        <f t="shared" si="29"/>
        <v>#N/A</v>
      </c>
      <c r="N196" s="368" t="e">
        <f t="shared" si="34"/>
        <v>#N/A</v>
      </c>
      <c r="O196" s="368" t="e">
        <f t="shared" si="31"/>
        <v>#N/A</v>
      </c>
      <c r="P196" s="368" t="e">
        <f t="shared" si="32"/>
        <v>#N/A</v>
      </c>
      <c r="Q196" s="374" t="e">
        <f t="shared" si="33"/>
        <v>#N/A</v>
      </c>
      <c r="R196" s="57"/>
      <c r="S196" s="57"/>
      <c r="T196" s="57"/>
      <c r="U196" s="57"/>
      <c r="V196" s="57"/>
      <c r="W196" s="57"/>
      <c r="X196" s="57"/>
      <c r="Y196" s="57"/>
      <c r="Z196" s="57"/>
      <c r="AA196" s="57"/>
      <c r="AB196" s="57"/>
      <c r="AC196" s="57"/>
      <c r="AD196" s="361"/>
      <c r="AE196" s="57"/>
      <c r="AF196" s="57"/>
      <c r="AG196" s="57"/>
      <c r="AH196" s="57"/>
      <c r="AI196" s="57"/>
      <c r="AJ196" s="57"/>
      <c r="AK196" s="57"/>
      <c r="AL196" s="57"/>
      <c r="AM196" s="57"/>
      <c r="AP196" s="57"/>
      <c r="AQ196" s="57"/>
      <c r="AR196" s="57"/>
    </row>
    <row r="197" spans="1:44" x14ac:dyDescent="0.2">
      <c r="A197" s="63" t="str">
        <f>IF(Teams&gt;=60, "2", "Hide")</f>
        <v>Hide</v>
      </c>
      <c r="B197" s="386"/>
      <c r="G197" s="68" t="s">
        <v>50</v>
      </c>
      <c r="H197" s="29"/>
      <c r="I197" s="246"/>
      <c r="K197" s="366">
        <v>19</v>
      </c>
      <c r="L197" s="367" t="e">
        <f>MATCH(K197,'Ballot Entry'!$L$109:$L$143,0)</f>
        <v>#N/A</v>
      </c>
      <c r="M197" s="368" t="e">
        <f t="shared" si="29"/>
        <v>#N/A</v>
      </c>
      <c r="N197" s="368" t="e">
        <f t="shared" si="34"/>
        <v>#N/A</v>
      </c>
      <c r="O197" s="368" t="e">
        <f t="shared" si="31"/>
        <v>#N/A</v>
      </c>
      <c r="P197" s="368" t="e">
        <f t="shared" si="32"/>
        <v>#N/A</v>
      </c>
      <c r="Q197" s="374" t="e">
        <f t="shared" si="33"/>
        <v>#N/A</v>
      </c>
      <c r="R197" s="57"/>
      <c r="S197" s="57"/>
      <c r="T197" s="57"/>
      <c r="U197" s="57"/>
      <c r="V197" s="57"/>
      <c r="W197" s="57"/>
      <c r="X197" s="57"/>
      <c r="Y197" s="57"/>
      <c r="Z197" s="57"/>
      <c r="AA197" s="57"/>
      <c r="AB197" s="57"/>
      <c r="AC197" s="57"/>
      <c r="AD197" s="361"/>
      <c r="AE197" s="57"/>
      <c r="AF197" s="57"/>
      <c r="AG197" s="57"/>
      <c r="AH197" s="57"/>
      <c r="AI197" s="57"/>
      <c r="AJ197" s="57"/>
      <c r="AK197" s="57"/>
      <c r="AL197" s="57"/>
      <c r="AM197" s="57"/>
      <c r="AP197" s="57"/>
      <c r="AQ197" s="57"/>
      <c r="AR197" s="57"/>
    </row>
    <row r="198" spans="1:44" ht="13.5" thickBot="1" x14ac:dyDescent="0.25">
      <c r="A198" s="64" t="str">
        <f>IF(Teams&gt;=60, IF(Ballots = 3, "2", "Hide"), "Hide")</f>
        <v>Hide</v>
      </c>
      <c r="B198" s="388"/>
      <c r="C198" s="281"/>
      <c r="D198" s="282"/>
      <c r="E198" s="282"/>
      <c r="F198" s="77"/>
      <c r="G198" s="70" t="s">
        <v>51</v>
      </c>
      <c r="H198" s="30"/>
      <c r="I198" s="247"/>
      <c r="K198" s="366">
        <v>20</v>
      </c>
      <c r="L198" s="367" t="e">
        <f>MATCH(K198,'Ballot Entry'!$L$109:$L$143,0)</f>
        <v>#N/A</v>
      </c>
      <c r="M198" s="368" t="e">
        <f t="shared" si="29"/>
        <v>#N/A</v>
      </c>
      <c r="N198" s="368" t="e">
        <f t="shared" si="34"/>
        <v>#N/A</v>
      </c>
      <c r="O198" s="368" t="e">
        <f t="shared" si="31"/>
        <v>#N/A</v>
      </c>
      <c r="P198" s="368" t="e">
        <f t="shared" si="32"/>
        <v>#N/A</v>
      </c>
      <c r="Q198" s="374" t="e">
        <f t="shared" si="33"/>
        <v>#N/A</v>
      </c>
      <c r="R198" s="57"/>
      <c r="S198" s="57"/>
      <c r="T198" s="57"/>
      <c r="U198" s="57"/>
      <c r="V198" s="57"/>
      <c r="W198" s="57"/>
      <c r="X198" s="57"/>
      <c r="Y198" s="57"/>
      <c r="Z198" s="57"/>
      <c r="AA198" s="57"/>
      <c r="AB198" s="57"/>
      <c r="AC198" s="57"/>
      <c r="AD198" s="361"/>
      <c r="AE198" s="57"/>
      <c r="AF198" s="57"/>
      <c r="AG198" s="57"/>
      <c r="AH198" s="57"/>
      <c r="AI198" s="57"/>
      <c r="AJ198" s="57"/>
      <c r="AK198" s="57"/>
      <c r="AL198" s="57"/>
      <c r="AM198" s="57"/>
      <c r="AP198" s="57"/>
      <c r="AQ198" s="57"/>
      <c r="AR198" s="57"/>
    </row>
    <row r="199" spans="1:44" ht="15" thickTop="1" x14ac:dyDescent="0.3">
      <c r="A199" s="60" t="str">
        <f>IF(Teams&gt;=62, "2", "Hide")</f>
        <v>Hide</v>
      </c>
      <c r="B199" s="384">
        <f>B93</f>
        <v>0</v>
      </c>
      <c r="C199" s="276" t="s">
        <v>220</v>
      </c>
      <c r="D199" s="384"/>
      <c r="E199" s="276" t="s">
        <v>221</v>
      </c>
      <c r="F199" s="74"/>
      <c r="G199" s="67" t="s">
        <v>49</v>
      </c>
      <c r="H199" s="25"/>
      <c r="I199" s="242"/>
      <c r="K199" s="366">
        <v>21</v>
      </c>
      <c r="L199" s="382" t="e">
        <f>MATCH(K199,'Ballot Entry'!$L$109:$L$143,0)</f>
        <v>#N/A</v>
      </c>
      <c r="M199" s="382" t="e">
        <f t="shared" si="29"/>
        <v>#N/A</v>
      </c>
      <c r="N199" s="382" t="e">
        <f t="shared" si="34"/>
        <v>#N/A</v>
      </c>
      <c r="O199" s="382" t="e">
        <f t="shared" si="31"/>
        <v>#N/A</v>
      </c>
      <c r="P199" s="382" t="e">
        <f t="shared" si="32"/>
        <v>#N/A</v>
      </c>
      <c r="Q199" s="383" t="e">
        <f t="shared" si="33"/>
        <v>#N/A</v>
      </c>
      <c r="R199" s="57"/>
      <c r="S199" s="57"/>
      <c r="T199" s="57"/>
      <c r="U199" s="57"/>
      <c r="V199" s="57"/>
      <c r="W199" s="57"/>
      <c r="X199" s="57"/>
      <c r="Y199" s="57"/>
      <c r="Z199" s="57"/>
      <c r="AA199" s="57"/>
      <c r="AB199" s="57"/>
      <c r="AC199" s="57"/>
      <c r="AD199" s="361"/>
      <c r="AE199" s="57"/>
      <c r="AF199" s="57"/>
      <c r="AG199" s="57"/>
      <c r="AH199" s="57"/>
      <c r="AI199" s="57"/>
      <c r="AJ199" s="57"/>
      <c r="AK199" s="57"/>
      <c r="AL199" s="57"/>
      <c r="AM199" s="57"/>
      <c r="AP199" s="57"/>
      <c r="AQ199" s="57"/>
      <c r="AR199" s="57"/>
    </row>
    <row r="200" spans="1:44" x14ac:dyDescent="0.2">
      <c r="A200" s="61" t="str">
        <f>IF(Teams&gt;=62, "2", "Hide")</f>
        <v>Hide</v>
      </c>
      <c r="G200" s="68" t="s">
        <v>50</v>
      </c>
      <c r="H200" s="26"/>
      <c r="I200" s="243"/>
      <c r="K200" s="366">
        <v>22</v>
      </c>
      <c r="L200" s="367" t="e">
        <f>MATCH(K200,'Ballot Entry'!$L$109:$L$143,0)</f>
        <v>#N/A</v>
      </c>
      <c r="M200" s="368" t="e">
        <f t="shared" si="29"/>
        <v>#N/A</v>
      </c>
      <c r="N200" s="368" t="e">
        <f t="shared" si="34"/>
        <v>#N/A</v>
      </c>
      <c r="O200" s="368" t="e">
        <f t="shared" si="31"/>
        <v>#N/A</v>
      </c>
      <c r="P200" s="368" t="e">
        <f t="shared" si="32"/>
        <v>#N/A</v>
      </c>
      <c r="Q200" s="374" t="e">
        <f t="shared" si="33"/>
        <v>#N/A</v>
      </c>
      <c r="R200" s="57"/>
      <c r="S200" s="57"/>
      <c r="T200" s="57"/>
      <c r="U200" s="57"/>
      <c r="V200" s="57"/>
      <c r="W200" s="57"/>
      <c r="X200" s="57"/>
      <c r="Y200" s="57"/>
      <c r="Z200" s="57"/>
      <c r="AA200" s="57"/>
      <c r="AB200" s="57"/>
      <c r="AC200" s="57"/>
      <c r="AD200" s="361"/>
      <c r="AE200" s="57"/>
      <c r="AF200" s="57"/>
      <c r="AG200" s="57"/>
      <c r="AH200" s="57"/>
      <c r="AI200" s="57"/>
      <c r="AJ200" s="57"/>
      <c r="AK200" s="57"/>
      <c r="AL200" s="57"/>
      <c r="AM200" s="57"/>
      <c r="AP200" s="57"/>
      <c r="AQ200" s="57"/>
      <c r="AR200" s="57"/>
    </row>
    <row r="201" spans="1:44" ht="13.5" thickBot="1" x14ac:dyDescent="0.25">
      <c r="A201" s="61" t="str">
        <f>IF(Teams&gt;=62, IF(Ballots = 3, "2", "Hide"), "Hide")</f>
        <v>Hide</v>
      </c>
      <c r="B201" s="386"/>
      <c r="C201" s="277"/>
      <c r="D201" s="278"/>
      <c r="E201" s="278"/>
      <c r="F201" s="75"/>
      <c r="G201" s="68" t="s">
        <v>51</v>
      </c>
      <c r="H201" s="27"/>
      <c r="I201" s="244"/>
      <c r="K201" s="366">
        <v>23</v>
      </c>
      <c r="L201" s="367" t="e">
        <f>MATCH(K201,'Ballot Entry'!$L$109:$L$143,0)</f>
        <v>#N/A</v>
      </c>
      <c r="M201" s="368" t="e">
        <f t="shared" si="29"/>
        <v>#N/A</v>
      </c>
      <c r="N201" s="368" t="e">
        <f t="shared" si="34"/>
        <v>#N/A</v>
      </c>
      <c r="O201" s="368" t="e">
        <f t="shared" si="31"/>
        <v>#N/A</v>
      </c>
      <c r="P201" s="368" t="e">
        <f t="shared" si="32"/>
        <v>#N/A</v>
      </c>
      <c r="Q201" s="374" t="e">
        <f t="shared" si="33"/>
        <v>#N/A</v>
      </c>
      <c r="R201" s="57"/>
      <c r="S201" s="57"/>
      <c r="T201" s="57"/>
      <c r="U201" s="57"/>
      <c r="V201" s="57"/>
      <c r="W201" s="57"/>
      <c r="X201" s="57"/>
      <c r="Y201" s="57"/>
      <c r="Z201" s="57"/>
      <c r="AA201" s="57"/>
      <c r="AB201" s="57"/>
      <c r="AC201" s="57"/>
      <c r="AD201" s="361"/>
      <c r="AE201" s="57"/>
      <c r="AF201" s="57"/>
      <c r="AG201" s="57"/>
      <c r="AH201" s="57"/>
      <c r="AI201" s="57"/>
      <c r="AJ201" s="57"/>
      <c r="AK201" s="57"/>
      <c r="AL201" s="57"/>
      <c r="AM201" s="57"/>
      <c r="AP201" s="57"/>
      <c r="AQ201" s="57"/>
      <c r="AR201" s="57"/>
    </row>
    <row r="202" spans="1:44" ht="15" thickTop="1" x14ac:dyDescent="0.3">
      <c r="A202" s="62" t="str">
        <f>IF(Teams&gt;=64, "2", "Hide")</f>
        <v>Hide</v>
      </c>
      <c r="B202" s="387">
        <f>B96</f>
        <v>0</v>
      </c>
      <c r="C202" s="279" t="s">
        <v>220</v>
      </c>
      <c r="D202" s="280"/>
      <c r="E202" s="279" t="s">
        <v>221</v>
      </c>
      <c r="F202" s="76"/>
      <c r="G202" s="69" t="s">
        <v>49</v>
      </c>
      <c r="H202" s="28"/>
      <c r="I202" s="245"/>
      <c r="K202" s="366">
        <v>24</v>
      </c>
      <c r="L202" s="367" t="e">
        <f>MATCH(K202,'Ballot Entry'!$L$109:$L$143,0)</f>
        <v>#N/A</v>
      </c>
      <c r="M202" s="368" t="e">
        <f t="shared" si="29"/>
        <v>#N/A</v>
      </c>
      <c r="N202" s="368" t="e">
        <f t="shared" si="34"/>
        <v>#N/A</v>
      </c>
      <c r="O202" s="368" t="e">
        <f t="shared" si="31"/>
        <v>#N/A</v>
      </c>
      <c r="P202" s="368" t="e">
        <f t="shared" si="32"/>
        <v>#N/A</v>
      </c>
      <c r="Q202" s="374" t="e">
        <f t="shared" si="33"/>
        <v>#N/A</v>
      </c>
      <c r="R202" s="57"/>
      <c r="S202" s="57"/>
      <c r="T202" s="57"/>
      <c r="U202" s="57"/>
      <c r="V202" s="57"/>
      <c r="W202" s="57"/>
      <c r="X202" s="57"/>
      <c r="Y202" s="57"/>
      <c r="Z202" s="57"/>
      <c r="AA202" s="57"/>
      <c r="AB202" s="57"/>
      <c r="AC202" s="57"/>
      <c r="AD202" s="361"/>
      <c r="AE202" s="57"/>
      <c r="AF202" s="57"/>
      <c r="AG202" s="57"/>
      <c r="AH202" s="57"/>
      <c r="AI202" s="57"/>
      <c r="AJ202" s="57"/>
      <c r="AK202" s="57"/>
      <c r="AL202" s="57"/>
      <c r="AM202" s="57"/>
      <c r="AP202" s="57"/>
      <c r="AQ202" s="57"/>
      <c r="AR202" s="57"/>
    </row>
    <row r="203" spans="1:44" x14ac:dyDescent="0.2">
      <c r="A203" s="63" t="str">
        <f>IF(Teams&gt;=64, "2", "Hide")</f>
        <v>Hide</v>
      </c>
      <c r="B203" s="386"/>
      <c r="G203" s="68" t="s">
        <v>50</v>
      </c>
      <c r="H203" s="29"/>
      <c r="I203" s="246"/>
      <c r="K203" s="366">
        <v>25</v>
      </c>
      <c r="L203" s="367" t="e">
        <f>MATCH(K203,'Ballot Entry'!$L$109:$L$143,0)</f>
        <v>#N/A</v>
      </c>
      <c r="M203" s="368" t="e">
        <f t="shared" si="29"/>
        <v>#N/A</v>
      </c>
      <c r="N203" s="368" t="e">
        <f t="shared" si="34"/>
        <v>#N/A</v>
      </c>
      <c r="O203" s="368" t="e">
        <f t="shared" si="31"/>
        <v>#N/A</v>
      </c>
      <c r="P203" s="368" t="e">
        <f t="shared" si="32"/>
        <v>#N/A</v>
      </c>
      <c r="Q203" s="374" t="e">
        <f t="shared" si="33"/>
        <v>#N/A</v>
      </c>
      <c r="R203" s="57"/>
      <c r="S203" s="57"/>
      <c r="T203" s="57"/>
      <c r="U203" s="57"/>
      <c r="V203" s="57"/>
      <c r="W203" s="57"/>
      <c r="X203" s="57"/>
      <c r="Y203" s="57"/>
      <c r="Z203" s="57"/>
      <c r="AA203" s="57"/>
      <c r="AB203" s="57"/>
      <c r="AC203" s="57"/>
      <c r="AD203" s="361"/>
      <c r="AE203" s="57"/>
      <c r="AF203" s="57"/>
      <c r="AG203" s="57"/>
      <c r="AH203" s="57"/>
      <c r="AI203" s="57"/>
      <c r="AJ203" s="57"/>
      <c r="AK203" s="57"/>
      <c r="AL203" s="57"/>
      <c r="AM203" s="57"/>
      <c r="AP203" s="57"/>
      <c r="AQ203" s="57"/>
      <c r="AR203" s="57"/>
    </row>
    <row r="204" spans="1:44" ht="13.5" thickBot="1" x14ac:dyDescent="0.25">
      <c r="A204" s="64" t="str">
        <f>IF(Teams&gt;=64, IF(Ballots = 3, "2", "Hide"), "Hide")</f>
        <v>Hide</v>
      </c>
      <c r="B204" s="388"/>
      <c r="C204" s="281"/>
      <c r="D204" s="282"/>
      <c r="E204" s="282"/>
      <c r="F204" s="77"/>
      <c r="G204" s="70" t="s">
        <v>51</v>
      </c>
      <c r="H204" s="30"/>
      <c r="I204" s="247"/>
      <c r="K204" s="366">
        <v>26</v>
      </c>
      <c r="L204" s="367" t="e">
        <f>MATCH(K204,'Ballot Entry'!$L$109:$L$143,0)</f>
        <v>#N/A</v>
      </c>
      <c r="M204" s="368" t="e">
        <f t="shared" si="29"/>
        <v>#N/A</v>
      </c>
      <c r="N204" s="368" t="e">
        <f t="shared" si="34"/>
        <v>#N/A</v>
      </c>
      <c r="O204" s="368" t="e">
        <f t="shared" si="31"/>
        <v>#N/A</v>
      </c>
      <c r="P204" s="368" t="e">
        <f t="shared" si="32"/>
        <v>#N/A</v>
      </c>
      <c r="Q204" s="374" t="e">
        <f t="shared" si="33"/>
        <v>#N/A</v>
      </c>
      <c r="R204" s="57"/>
      <c r="S204" s="57"/>
      <c r="T204" s="57"/>
      <c r="U204" s="57"/>
      <c r="V204" s="57"/>
      <c r="W204" s="57"/>
      <c r="X204" s="57"/>
      <c r="Y204" s="57"/>
      <c r="Z204" s="57"/>
      <c r="AA204" s="57"/>
      <c r="AB204" s="57"/>
      <c r="AC204" s="57"/>
      <c r="AD204" s="361"/>
      <c r="AE204" s="57"/>
      <c r="AF204" s="57"/>
      <c r="AG204" s="57"/>
      <c r="AH204" s="57"/>
      <c r="AI204" s="57"/>
      <c r="AJ204" s="57"/>
      <c r="AK204" s="57"/>
      <c r="AL204" s="57"/>
      <c r="AM204" s="57"/>
      <c r="AP204" s="57"/>
      <c r="AQ204" s="57"/>
      <c r="AR204" s="57"/>
    </row>
    <row r="205" spans="1:44" ht="15" thickTop="1" x14ac:dyDescent="0.3">
      <c r="A205" s="60" t="str">
        <f>IF(Teams&gt;=66, "2", "Hide")</f>
        <v>Hide</v>
      </c>
      <c r="B205" s="384">
        <f>B99</f>
        <v>0</v>
      </c>
      <c r="C205" s="276" t="s">
        <v>220</v>
      </c>
      <c r="D205" s="384"/>
      <c r="E205" s="276" t="s">
        <v>221</v>
      </c>
      <c r="F205" s="74"/>
      <c r="G205" s="67" t="s">
        <v>49</v>
      </c>
      <c r="H205" s="25"/>
      <c r="I205" s="242"/>
      <c r="K205" s="366">
        <v>27</v>
      </c>
      <c r="L205" s="367" t="e">
        <f>MATCH(K205,'Ballot Entry'!$L$109:$L$143,0)</f>
        <v>#N/A</v>
      </c>
      <c r="M205" s="368" t="e">
        <f t="shared" si="29"/>
        <v>#N/A</v>
      </c>
      <c r="N205" s="368" t="e">
        <f t="shared" si="34"/>
        <v>#N/A</v>
      </c>
      <c r="O205" s="368" t="e">
        <f t="shared" si="31"/>
        <v>#N/A</v>
      </c>
      <c r="P205" s="368" t="e">
        <f t="shared" si="32"/>
        <v>#N/A</v>
      </c>
      <c r="Q205" s="374" t="e">
        <f t="shared" si="33"/>
        <v>#N/A</v>
      </c>
      <c r="R205" s="57"/>
      <c r="S205" s="57"/>
      <c r="T205" s="57"/>
      <c r="U205" s="57"/>
      <c r="V205" s="57"/>
      <c r="W205" s="57"/>
      <c r="X205" s="57"/>
      <c r="Y205" s="57"/>
      <c r="Z205" s="57"/>
      <c r="AA205" s="57"/>
      <c r="AB205" s="57"/>
      <c r="AC205" s="57"/>
      <c r="AD205" s="361"/>
      <c r="AE205" s="57"/>
      <c r="AF205" s="57"/>
      <c r="AG205" s="57"/>
      <c r="AH205" s="57"/>
      <c r="AI205" s="57"/>
      <c r="AJ205" s="57"/>
      <c r="AK205" s="57"/>
      <c r="AL205" s="57"/>
      <c r="AM205" s="57"/>
      <c r="AP205" s="57"/>
      <c r="AQ205" s="57"/>
      <c r="AR205" s="57"/>
    </row>
    <row r="206" spans="1:44" x14ac:dyDescent="0.2">
      <c r="A206" s="61" t="str">
        <f>IF(Teams&gt;=66, "2", "Hide")</f>
        <v>Hide</v>
      </c>
      <c r="G206" s="68" t="s">
        <v>50</v>
      </c>
      <c r="H206" s="26"/>
      <c r="I206" s="243"/>
      <c r="K206" s="366">
        <v>28</v>
      </c>
      <c r="L206" s="367" t="e">
        <f>MATCH(K206,'Ballot Entry'!$L$109:$L$143,0)</f>
        <v>#N/A</v>
      </c>
      <c r="M206" s="368" t="e">
        <f t="shared" si="29"/>
        <v>#N/A</v>
      </c>
      <c r="N206" s="368" t="e">
        <f t="shared" si="34"/>
        <v>#N/A</v>
      </c>
      <c r="O206" s="368" t="e">
        <f t="shared" si="31"/>
        <v>#N/A</v>
      </c>
      <c r="P206" s="368" t="e">
        <f t="shared" si="32"/>
        <v>#N/A</v>
      </c>
      <c r="Q206" s="374" t="e">
        <f t="shared" si="33"/>
        <v>#N/A</v>
      </c>
      <c r="R206" s="57"/>
      <c r="S206" s="57"/>
      <c r="T206" s="57"/>
      <c r="U206" s="57"/>
      <c r="V206" s="57"/>
      <c r="W206" s="57"/>
      <c r="X206" s="57"/>
      <c r="Y206" s="57"/>
      <c r="Z206" s="57"/>
      <c r="AA206" s="57"/>
      <c r="AB206" s="57"/>
      <c r="AC206" s="57"/>
      <c r="AD206" s="361"/>
      <c r="AE206" s="57"/>
      <c r="AF206" s="57"/>
      <c r="AG206" s="57"/>
      <c r="AH206" s="57"/>
      <c r="AI206" s="57"/>
      <c r="AJ206" s="57"/>
      <c r="AK206" s="57"/>
      <c r="AL206" s="57"/>
      <c r="AM206" s="57"/>
      <c r="AP206" s="57"/>
      <c r="AQ206" s="57"/>
      <c r="AR206" s="57"/>
    </row>
    <row r="207" spans="1:44" ht="13.5" thickBot="1" x14ac:dyDescent="0.25">
      <c r="A207" s="61" t="str">
        <f>IF(Teams&gt;=66, IF(Ballots = 3, "2", "Hide"), "Hide")</f>
        <v>Hide</v>
      </c>
      <c r="B207" s="386"/>
      <c r="C207" s="277"/>
      <c r="D207" s="278"/>
      <c r="E207" s="278"/>
      <c r="F207" s="75"/>
      <c r="G207" s="68" t="s">
        <v>51</v>
      </c>
      <c r="H207" s="27"/>
      <c r="I207" s="244"/>
      <c r="K207" s="366">
        <v>29</v>
      </c>
      <c r="L207" s="367" t="e">
        <f>MATCH(K207,'Ballot Entry'!$L$109:$L$143,0)</f>
        <v>#N/A</v>
      </c>
      <c r="M207" s="368" t="e">
        <f t="shared" si="29"/>
        <v>#N/A</v>
      </c>
      <c r="N207" s="368" t="e">
        <f t="shared" si="34"/>
        <v>#N/A</v>
      </c>
      <c r="O207" s="368" t="e">
        <f t="shared" si="31"/>
        <v>#N/A</v>
      </c>
      <c r="P207" s="368" t="e">
        <f t="shared" si="32"/>
        <v>#N/A</v>
      </c>
      <c r="Q207" s="374" t="e">
        <f t="shared" si="33"/>
        <v>#N/A</v>
      </c>
      <c r="R207" s="57"/>
      <c r="S207" s="57"/>
      <c r="T207" s="57"/>
      <c r="U207" s="57"/>
      <c r="V207" s="57"/>
      <c r="W207" s="57"/>
      <c r="X207" s="57"/>
      <c r="Y207" s="57"/>
      <c r="Z207" s="57"/>
      <c r="AA207" s="57"/>
      <c r="AB207" s="57"/>
      <c r="AC207" s="57"/>
      <c r="AD207" s="361"/>
      <c r="AE207" s="57"/>
      <c r="AF207" s="57"/>
      <c r="AG207" s="57"/>
      <c r="AH207" s="57"/>
      <c r="AI207" s="57"/>
      <c r="AJ207" s="57"/>
      <c r="AK207" s="57"/>
      <c r="AL207" s="57"/>
      <c r="AM207" s="57"/>
      <c r="AP207" s="57"/>
      <c r="AQ207" s="57"/>
      <c r="AR207" s="57"/>
    </row>
    <row r="208" spans="1:44" ht="15" thickTop="1" x14ac:dyDescent="0.3">
      <c r="A208" s="62" t="str">
        <f>IF(Teams&gt;=68, "2", "Hide")</f>
        <v>Hide</v>
      </c>
      <c r="B208" s="387">
        <f>B102</f>
        <v>0</v>
      </c>
      <c r="C208" s="279" t="s">
        <v>220</v>
      </c>
      <c r="D208" s="280"/>
      <c r="E208" s="279" t="s">
        <v>221</v>
      </c>
      <c r="F208" s="76"/>
      <c r="G208" s="69" t="s">
        <v>49</v>
      </c>
      <c r="H208" s="28"/>
      <c r="I208" s="245"/>
      <c r="K208" s="366">
        <v>30</v>
      </c>
      <c r="L208" s="367" t="e">
        <f>MATCH(K208,'Ballot Entry'!$L$109:$L$143,0)</f>
        <v>#N/A</v>
      </c>
      <c r="M208" s="368" t="e">
        <f t="shared" si="29"/>
        <v>#N/A</v>
      </c>
      <c r="N208" s="368" t="e">
        <f t="shared" si="34"/>
        <v>#N/A</v>
      </c>
      <c r="O208" s="368" t="e">
        <f t="shared" si="31"/>
        <v>#N/A</v>
      </c>
      <c r="P208" s="368" t="e">
        <f t="shared" si="32"/>
        <v>#N/A</v>
      </c>
      <c r="Q208" s="374" t="e">
        <f t="shared" si="33"/>
        <v>#N/A</v>
      </c>
      <c r="R208" s="57"/>
      <c r="S208" s="57"/>
      <c r="T208" s="57"/>
      <c r="U208" s="57"/>
      <c r="V208" s="57"/>
      <c r="W208" s="57"/>
      <c r="X208" s="57"/>
      <c r="Y208" s="57"/>
      <c r="Z208" s="57"/>
      <c r="AA208" s="57"/>
      <c r="AB208" s="57"/>
      <c r="AC208" s="57"/>
      <c r="AD208" s="361"/>
      <c r="AE208" s="57"/>
      <c r="AF208" s="57"/>
      <c r="AG208" s="57"/>
      <c r="AH208" s="57"/>
      <c r="AI208" s="57"/>
      <c r="AJ208" s="57"/>
      <c r="AK208" s="57"/>
      <c r="AL208" s="57"/>
      <c r="AM208" s="57"/>
      <c r="AP208" s="57"/>
      <c r="AQ208" s="57"/>
      <c r="AR208" s="57"/>
    </row>
    <row r="209" spans="1:44" x14ac:dyDescent="0.2">
      <c r="A209" s="63" t="str">
        <f>IF(Teams&gt;=68, "2", "Hide")</f>
        <v>Hide</v>
      </c>
      <c r="B209" s="386"/>
      <c r="G209" s="68" t="s">
        <v>50</v>
      </c>
      <c r="H209" s="29"/>
      <c r="I209" s="246"/>
      <c r="K209" s="366">
        <v>31</v>
      </c>
      <c r="L209" s="367" t="e">
        <f>MATCH(K209,'Ballot Entry'!$L$109:$L$143,0)</f>
        <v>#N/A</v>
      </c>
      <c r="M209" s="368" t="e">
        <f t="shared" si="29"/>
        <v>#N/A</v>
      </c>
      <c r="N209" s="368" t="e">
        <f t="shared" ref="N209:N213" si="35">INDEX(Round2,L209,3)</f>
        <v>#N/A</v>
      </c>
      <c r="O209" s="368" t="e">
        <f t="shared" si="31"/>
        <v>#N/A</v>
      </c>
      <c r="P209" s="368" t="e">
        <f t="shared" si="32"/>
        <v>#N/A</v>
      </c>
      <c r="Q209" s="374" t="e">
        <f t="shared" si="33"/>
        <v>#N/A</v>
      </c>
      <c r="R209" s="57"/>
      <c r="S209" s="57"/>
      <c r="T209" s="57"/>
      <c r="U209" s="57"/>
      <c r="V209" s="57"/>
      <c r="W209" s="57"/>
      <c r="X209" s="57"/>
      <c r="Y209" s="57"/>
      <c r="Z209" s="57"/>
      <c r="AA209" s="57"/>
      <c r="AB209" s="57"/>
      <c r="AC209" s="57"/>
      <c r="AD209" s="361"/>
      <c r="AE209" s="57"/>
      <c r="AF209" s="57"/>
      <c r="AG209" s="57"/>
      <c r="AH209" s="57"/>
      <c r="AI209" s="57"/>
      <c r="AJ209" s="57"/>
      <c r="AK209" s="57"/>
      <c r="AL209" s="57"/>
      <c r="AM209" s="57"/>
      <c r="AP209" s="57"/>
      <c r="AQ209" s="57"/>
      <c r="AR209" s="57"/>
    </row>
    <row r="210" spans="1:44" ht="13.5" thickBot="1" x14ac:dyDescent="0.25">
      <c r="A210" s="64" t="str">
        <f>IF(Teams&gt;=68, IF(Ballots = 3, "2", "Hide"), "Hide")</f>
        <v>Hide</v>
      </c>
      <c r="B210" s="388"/>
      <c r="C210" s="281"/>
      <c r="D210" s="282"/>
      <c r="E210" s="282"/>
      <c r="F210" s="77"/>
      <c r="G210" s="70" t="s">
        <v>51</v>
      </c>
      <c r="H210" s="30"/>
      <c r="I210" s="247"/>
      <c r="K210" s="366">
        <v>32</v>
      </c>
      <c r="L210" s="367" t="e">
        <f>MATCH(K210,'Ballot Entry'!$L$109:$L$143,0)</f>
        <v>#N/A</v>
      </c>
      <c r="M210" s="368" t="e">
        <f t="shared" si="29"/>
        <v>#N/A</v>
      </c>
      <c r="N210" s="368" t="e">
        <f t="shared" si="35"/>
        <v>#N/A</v>
      </c>
      <c r="O210" s="368" t="e">
        <f t="shared" si="31"/>
        <v>#N/A</v>
      </c>
      <c r="P210" s="368" t="e">
        <f t="shared" si="32"/>
        <v>#N/A</v>
      </c>
      <c r="Q210" s="374" t="e">
        <f t="shared" si="33"/>
        <v>#N/A</v>
      </c>
      <c r="R210" s="57"/>
      <c r="S210" s="57"/>
      <c r="T210" s="57"/>
      <c r="U210" s="57"/>
      <c r="V210" s="57"/>
      <c r="W210" s="57"/>
      <c r="X210" s="57"/>
      <c r="Y210" s="57"/>
      <c r="Z210" s="57"/>
      <c r="AA210" s="57"/>
      <c r="AB210" s="57"/>
      <c r="AC210" s="57"/>
      <c r="AD210" s="361"/>
      <c r="AE210" s="57"/>
      <c r="AF210" s="57"/>
      <c r="AG210" s="57"/>
      <c r="AH210" s="57"/>
      <c r="AI210" s="57"/>
      <c r="AJ210" s="57"/>
      <c r="AK210" s="57"/>
      <c r="AL210" s="57"/>
      <c r="AM210" s="57"/>
      <c r="AP210" s="57"/>
      <c r="AQ210" s="57"/>
      <c r="AR210" s="57"/>
    </row>
    <row r="211" spans="1:44" ht="15" thickTop="1" x14ac:dyDescent="0.3">
      <c r="A211" s="60" t="str">
        <f>IF(Teams&gt;=70, "2", "Hide")</f>
        <v>Hide</v>
      </c>
      <c r="B211" s="384">
        <f>B105</f>
        <v>0</v>
      </c>
      <c r="C211" s="276" t="s">
        <v>220</v>
      </c>
      <c r="D211" s="384"/>
      <c r="E211" s="276" t="s">
        <v>221</v>
      </c>
      <c r="F211" s="74"/>
      <c r="G211" s="67" t="s">
        <v>49</v>
      </c>
      <c r="H211" s="25"/>
      <c r="I211" s="242"/>
      <c r="K211" s="366">
        <v>33</v>
      </c>
      <c r="L211" s="367" t="e">
        <f>MATCH(K211,'Ballot Entry'!$L$109:$L$143,0)</f>
        <v>#N/A</v>
      </c>
      <c r="M211" s="368" t="e">
        <f t="shared" si="29"/>
        <v>#N/A</v>
      </c>
      <c r="N211" s="368" t="e">
        <f t="shared" si="35"/>
        <v>#N/A</v>
      </c>
      <c r="O211" s="368" t="e">
        <f t="shared" si="31"/>
        <v>#N/A</v>
      </c>
      <c r="P211" s="368" t="e">
        <f t="shared" si="32"/>
        <v>#N/A</v>
      </c>
      <c r="Q211" s="374" t="e">
        <f t="shared" si="33"/>
        <v>#N/A</v>
      </c>
      <c r="R211" s="57"/>
      <c r="S211" s="57"/>
      <c r="T211" s="57"/>
      <c r="U211" s="57"/>
      <c r="V211" s="57"/>
      <c r="W211" s="57"/>
      <c r="X211" s="57"/>
      <c r="Y211" s="57"/>
      <c r="Z211" s="57"/>
      <c r="AA211" s="57"/>
      <c r="AB211" s="57"/>
      <c r="AC211" s="57"/>
      <c r="AD211" s="361"/>
      <c r="AE211" s="57"/>
      <c r="AF211" s="57"/>
      <c r="AG211" s="57"/>
      <c r="AH211" s="57"/>
      <c r="AI211" s="57"/>
      <c r="AJ211" s="57"/>
      <c r="AK211" s="57"/>
      <c r="AL211" s="57"/>
      <c r="AM211" s="57"/>
      <c r="AP211" s="57"/>
      <c r="AQ211" s="57"/>
      <c r="AR211" s="57"/>
    </row>
    <row r="212" spans="1:44" x14ac:dyDescent="0.2">
      <c r="A212" s="61" t="str">
        <f>IF(Teams&gt;=70, "2", "Hide")</f>
        <v>Hide</v>
      </c>
      <c r="G212" s="68" t="s">
        <v>50</v>
      </c>
      <c r="H212" s="26"/>
      <c r="I212" s="243"/>
      <c r="K212" s="366">
        <v>34</v>
      </c>
      <c r="L212" s="367" t="e">
        <f>MATCH(K212,'Ballot Entry'!$L$109:$L$143,0)</f>
        <v>#N/A</v>
      </c>
      <c r="M212" s="368" t="e">
        <f t="shared" si="29"/>
        <v>#N/A</v>
      </c>
      <c r="N212" s="368" t="e">
        <f t="shared" si="35"/>
        <v>#N/A</v>
      </c>
      <c r="O212" s="368" t="e">
        <f t="shared" si="31"/>
        <v>#N/A</v>
      </c>
      <c r="P212" s="368" t="e">
        <f t="shared" si="32"/>
        <v>#N/A</v>
      </c>
      <c r="Q212" s="374" t="e">
        <f t="shared" si="33"/>
        <v>#N/A</v>
      </c>
      <c r="R212" s="57"/>
      <c r="S212" s="57"/>
      <c r="T212" s="57"/>
      <c r="U212" s="57"/>
      <c r="V212" s="57"/>
      <c r="W212" s="57"/>
      <c r="X212" s="57"/>
      <c r="Y212" s="57"/>
      <c r="Z212" s="57"/>
      <c r="AA212" s="57"/>
      <c r="AB212" s="57"/>
      <c r="AC212" s="57"/>
      <c r="AD212" s="361"/>
      <c r="AE212" s="57"/>
      <c r="AF212" s="57"/>
      <c r="AG212" s="57"/>
      <c r="AH212" s="57"/>
      <c r="AI212" s="57"/>
      <c r="AJ212" s="57"/>
      <c r="AK212" s="57"/>
      <c r="AL212" s="57"/>
      <c r="AM212" s="57"/>
      <c r="AP212" s="57"/>
      <c r="AQ212" s="57"/>
      <c r="AR212" s="57"/>
    </row>
    <row r="213" spans="1:44" ht="13.5" thickBot="1" x14ac:dyDescent="0.25">
      <c r="A213" s="61" t="str">
        <f>IF(Teams&gt;=70, IF(Ballots = 3, "2", "Hide"), "Hide")</f>
        <v>Hide</v>
      </c>
      <c r="B213" s="386"/>
      <c r="C213" s="277"/>
      <c r="D213" s="278"/>
      <c r="E213" s="278"/>
      <c r="F213" s="75"/>
      <c r="G213" s="68" t="s">
        <v>51</v>
      </c>
      <c r="H213" s="27"/>
      <c r="I213" s="244"/>
      <c r="K213" s="375">
        <v>35</v>
      </c>
      <c r="L213" s="376" t="e">
        <f>MATCH(K213,'Ballot Entry'!$L$109:$L$143,0)</f>
        <v>#N/A</v>
      </c>
      <c r="M213" s="377" t="e">
        <f t="shared" si="29"/>
        <v>#N/A</v>
      </c>
      <c r="N213" s="377" t="e">
        <f t="shared" si="35"/>
        <v>#N/A</v>
      </c>
      <c r="O213" s="377" t="e">
        <f t="shared" si="31"/>
        <v>#N/A</v>
      </c>
      <c r="P213" s="377" t="e">
        <f t="shared" si="32"/>
        <v>#N/A</v>
      </c>
      <c r="Q213" s="378" t="e">
        <f t="shared" si="33"/>
        <v>#N/A</v>
      </c>
      <c r="R213" s="57"/>
      <c r="S213" s="57"/>
      <c r="T213" s="57"/>
      <c r="U213" s="57"/>
      <c r="V213" s="57"/>
      <c r="W213" s="57"/>
      <c r="X213" s="57"/>
      <c r="Y213" s="57"/>
      <c r="Z213" s="57"/>
      <c r="AA213" s="57"/>
      <c r="AB213" s="57"/>
      <c r="AC213" s="57"/>
      <c r="AD213" s="361"/>
      <c r="AE213" s="57"/>
      <c r="AF213" s="57"/>
      <c r="AG213" s="57"/>
      <c r="AH213" s="57"/>
      <c r="AI213" s="57"/>
      <c r="AJ213" s="57"/>
      <c r="AK213" s="57"/>
      <c r="AL213" s="57"/>
      <c r="AM213" s="57"/>
      <c r="AP213" s="57"/>
      <c r="AQ213" s="57"/>
      <c r="AR213" s="57"/>
    </row>
    <row r="214" spans="1:44" s="56" customFormat="1" ht="14.25" thickTop="1" thickBot="1" x14ac:dyDescent="0.25">
      <c r="A214" s="65" t="s">
        <v>62</v>
      </c>
      <c r="B214" s="389"/>
      <c r="C214" s="283"/>
      <c r="D214" s="385"/>
      <c r="E214" s="284"/>
      <c r="F214" s="78"/>
      <c r="G214" s="65"/>
      <c r="H214" s="79"/>
      <c r="I214" s="248"/>
      <c r="K214" s="80"/>
      <c r="L214" s="80"/>
      <c r="M214" s="80"/>
      <c r="N214" s="80"/>
      <c r="O214" s="80"/>
      <c r="P214" s="80"/>
      <c r="Q214" s="80"/>
      <c r="R214" s="57"/>
      <c r="S214" s="57"/>
      <c r="T214" s="57"/>
      <c r="U214" s="57"/>
      <c r="V214" s="57"/>
      <c r="W214" s="57"/>
      <c r="X214" s="57"/>
      <c r="Y214" s="57"/>
      <c r="Z214" s="57"/>
      <c r="AA214" s="57"/>
      <c r="AB214" s="57"/>
      <c r="AC214" s="57"/>
      <c r="AD214" s="361"/>
      <c r="AE214" s="57"/>
      <c r="AF214" s="57"/>
      <c r="AG214" s="57"/>
      <c r="AH214" s="57"/>
      <c r="AI214" s="57"/>
      <c r="AJ214" s="57"/>
      <c r="AK214" s="57"/>
      <c r="AL214" s="57"/>
      <c r="AM214" s="57"/>
      <c r="AP214" s="57"/>
      <c r="AQ214" s="57"/>
      <c r="AR214" s="57"/>
    </row>
    <row r="215" spans="1:44" ht="15" thickTop="1" x14ac:dyDescent="0.3">
      <c r="A215" s="60" t="str">
        <f>IF(Teams&gt;=2, "3", "Hide")</f>
        <v>3</v>
      </c>
      <c r="B215" s="384">
        <f>B109</f>
        <v>501</v>
      </c>
      <c r="C215" s="276" t="s">
        <v>220</v>
      </c>
      <c r="D215" s="384">
        <v>1268</v>
      </c>
      <c r="E215" s="276" t="s">
        <v>221</v>
      </c>
      <c r="F215" s="74">
        <v>1051</v>
      </c>
      <c r="G215" s="67" t="s">
        <v>49</v>
      </c>
      <c r="H215" s="25" t="s">
        <v>33</v>
      </c>
      <c r="I215" s="242">
        <v>24</v>
      </c>
      <c r="K215" s="370">
        <f>RANK(M215,'Ballot Entry'!$M$215:$M$249,1)</f>
        <v>5</v>
      </c>
      <c r="L215" s="371">
        <f>RANK(N215,'Ballot Entry'!$N$215:$N$249,1)</f>
        <v>2</v>
      </c>
      <c r="M215" s="372">
        <f>IF(ISBLANK('Ballot Entry'!D215),9999,'Ballot Entry'!D215)</f>
        <v>1268</v>
      </c>
      <c r="N215" s="372">
        <f>IF(ISBLANK('Ballot Entry'!F215),9999,'Ballot Entry'!F215)</f>
        <v>1051</v>
      </c>
      <c r="O215" s="372">
        <f>IF('Ballot Entry'!H215="p",'Ballot Entry'!I215,'Ballot Entry'!I215*-1)</f>
        <v>24</v>
      </c>
      <c r="P215" s="372">
        <f>IF('Ballot Entry'!H216="p",'Ballot Entry'!I216,'Ballot Entry'!I216*-1)</f>
        <v>15</v>
      </c>
      <c r="Q215" s="373">
        <f>IF('Ballot Entry'!H217="p",'Ballot Entry'!I217,'Ballot Entry'!I217*-1)</f>
        <v>0</v>
      </c>
      <c r="R215" s="57"/>
      <c r="AP215" s="57"/>
      <c r="AQ215" s="57"/>
      <c r="AR215" s="57"/>
    </row>
    <row r="216" spans="1:44" x14ac:dyDescent="0.2">
      <c r="A216" s="61" t="str">
        <f>IF(Teams&gt;=2, "3", "Hide")</f>
        <v>3</v>
      </c>
      <c r="G216" s="68" t="s">
        <v>50</v>
      </c>
      <c r="H216" s="26" t="s">
        <v>33</v>
      </c>
      <c r="I216" s="243">
        <v>15</v>
      </c>
      <c r="K216" s="366">
        <f>RANK(M216,'Ballot Entry'!$M$215:$M$249,1)</f>
        <v>9</v>
      </c>
      <c r="L216" s="367">
        <f>RANK(N216,'Ballot Entry'!$N$215:$N$249,1)</f>
        <v>6</v>
      </c>
      <c r="M216" s="368">
        <f>IF(ISBLANK('Ballot Entry'!D218),9999,'Ballot Entry'!D218)</f>
        <v>1693</v>
      </c>
      <c r="N216" s="368">
        <f>IF(ISBLANK('Ballot Entry'!F218),9999,'Ballot Entry'!F218)</f>
        <v>1492</v>
      </c>
      <c r="O216" s="368">
        <f>IF('Ballot Entry'!H218="p",'Ballot Entry'!I218,'Ballot Entry'!I218*-1)</f>
        <v>-3</v>
      </c>
      <c r="P216" s="368">
        <f>IF('Ballot Entry'!H219="p",'Ballot Entry'!I219,'Ballot Entry'!I219*-1)</f>
        <v>-9</v>
      </c>
      <c r="Q216" s="374">
        <f>IF('Ballot Entry'!H220="p",'Ballot Entry'!I220,'Ballot Entry'!I220*-1)</f>
        <v>0</v>
      </c>
      <c r="R216" s="57"/>
      <c r="AP216" s="57"/>
      <c r="AQ216" s="57"/>
      <c r="AR216" s="57"/>
    </row>
    <row r="217" spans="1:44" ht="13.5" thickBot="1" x14ac:dyDescent="0.25">
      <c r="A217" s="61" t="str">
        <f>IF(Teams&gt;=2, IF(Ballots = 3, "3", "Hide"), "Hide")</f>
        <v>Hide</v>
      </c>
      <c r="B217" s="386"/>
      <c r="C217" s="277"/>
      <c r="D217" s="278"/>
      <c r="E217" s="278"/>
      <c r="F217" s="75"/>
      <c r="G217" s="68" t="s">
        <v>51</v>
      </c>
      <c r="H217" s="27"/>
      <c r="I217" s="244"/>
      <c r="K217" s="366">
        <f>RANK(M217,'Ballot Entry'!$M$215:$M$249,1)</f>
        <v>2</v>
      </c>
      <c r="L217" s="367">
        <f>RANK(N217,'Ballot Entry'!$N$215:$N$249,1)</f>
        <v>5</v>
      </c>
      <c r="M217" s="368">
        <f>IF(ISBLANK('Ballot Entry'!D221),9999,'Ballot Entry'!D221)</f>
        <v>1217</v>
      </c>
      <c r="N217" s="368">
        <f>IF(ISBLANK('Ballot Entry'!F221),9999,'Ballot Entry'!F221)</f>
        <v>1410</v>
      </c>
      <c r="O217" s="368">
        <f>IF('Ballot Entry'!H221="p",'Ballot Entry'!I221,'Ballot Entry'!I221*-1)</f>
        <v>-5</v>
      </c>
      <c r="P217" s="368">
        <f>IF('Ballot Entry'!H222="p",'Ballot Entry'!I222,'Ballot Entry'!I222*-1)</f>
        <v>0</v>
      </c>
      <c r="Q217" s="374">
        <f>IF('Ballot Entry'!H223="p",'Ballot Entry'!I223,'Ballot Entry'!I223*-1)</f>
        <v>0</v>
      </c>
      <c r="R217" s="57"/>
      <c r="AP217" s="57"/>
      <c r="AQ217" s="57"/>
      <c r="AR217" s="57"/>
    </row>
    <row r="218" spans="1:44" ht="15" thickTop="1" x14ac:dyDescent="0.3">
      <c r="A218" s="62" t="str">
        <f>IF(Teams&gt;=4, "3", "Hide")</f>
        <v>3</v>
      </c>
      <c r="B218" s="387">
        <f>B112</f>
        <v>502</v>
      </c>
      <c r="C218" s="279" t="s">
        <v>220</v>
      </c>
      <c r="D218" s="280">
        <v>1693</v>
      </c>
      <c r="E218" s="279" t="s">
        <v>221</v>
      </c>
      <c r="F218" s="76">
        <v>1492</v>
      </c>
      <c r="G218" s="69" t="s">
        <v>49</v>
      </c>
      <c r="H218" s="28" t="s">
        <v>47</v>
      </c>
      <c r="I218" s="245">
        <v>3</v>
      </c>
      <c r="K218" s="366">
        <f>RANK(M218,'Ballot Entry'!$M$215:$M$249,1)</f>
        <v>6</v>
      </c>
      <c r="L218" s="367">
        <f>RANK(N218,'Ballot Entry'!$N$215:$N$249,1)</f>
        <v>4</v>
      </c>
      <c r="M218" s="368">
        <f>IF(ISBLANK('Ballot Entry'!D224),9999,'Ballot Entry'!D224)</f>
        <v>1489</v>
      </c>
      <c r="N218" s="368">
        <f>IF(ISBLANK('Ballot Entry'!F224),9999,'Ballot Entry'!F224)</f>
        <v>1224</v>
      </c>
      <c r="O218" s="368">
        <f>IF('Ballot Entry'!H224="p",'Ballot Entry'!I224,'Ballot Entry'!I224*-1)</f>
        <v>-6</v>
      </c>
      <c r="P218" s="368">
        <f>IF('Ballot Entry'!H225="p",'Ballot Entry'!I225,'Ballot Entry'!I225*-1)</f>
        <v>-10</v>
      </c>
      <c r="Q218" s="374">
        <f>IF('Ballot Entry'!H226="p",'Ballot Entry'!I226,'Ballot Entry'!I226*-1)</f>
        <v>0</v>
      </c>
      <c r="R218" s="57"/>
      <c r="S218" s="57"/>
      <c r="T218" s="57"/>
      <c r="U218" s="57"/>
      <c r="V218" s="57"/>
      <c r="W218" s="57"/>
      <c r="X218" s="57"/>
      <c r="Y218" s="57"/>
      <c r="Z218" s="57"/>
      <c r="AA218" s="57"/>
      <c r="AB218" s="57"/>
      <c r="AC218" s="57"/>
      <c r="AD218" s="361"/>
      <c r="AE218" s="57"/>
      <c r="AF218" s="57"/>
      <c r="AG218" s="57"/>
      <c r="AH218" s="57"/>
      <c r="AI218" s="57"/>
      <c r="AJ218" s="57"/>
      <c r="AK218" s="57"/>
      <c r="AL218" s="57"/>
      <c r="AM218" s="57"/>
      <c r="AP218" s="57"/>
      <c r="AQ218" s="57"/>
      <c r="AR218" s="57"/>
    </row>
    <row r="219" spans="1:44" x14ac:dyDescent="0.2">
      <c r="A219" s="63" t="str">
        <f>IF(Teams&gt;=4, "3", "Hide")</f>
        <v>3</v>
      </c>
      <c r="B219" s="386"/>
      <c r="G219" s="68" t="s">
        <v>50</v>
      </c>
      <c r="H219" s="29" t="s">
        <v>47</v>
      </c>
      <c r="I219" s="246">
        <v>9</v>
      </c>
      <c r="K219" s="366">
        <f>RANK(M219,'Ballot Entry'!$M$215:$M$249,1)</f>
        <v>1</v>
      </c>
      <c r="L219" s="367">
        <f>RANK(N219,'Ballot Entry'!$N$215:$N$249,1)</f>
        <v>9</v>
      </c>
      <c r="M219" s="368">
        <f>IF(ISBLANK('Ballot Entry'!D227),9999,'Ballot Entry'!D227)</f>
        <v>1001</v>
      </c>
      <c r="N219" s="368">
        <f>IF(ISBLANK('Ballot Entry'!F227),9999,'Ballot Entry'!F227)</f>
        <v>1577</v>
      </c>
      <c r="O219" s="368">
        <f>IF('Ballot Entry'!H227="p",'Ballot Entry'!I227,'Ballot Entry'!I227*-1)</f>
        <v>0</v>
      </c>
      <c r="P219" s="368">
        <f>IF('Ballot Entry'!H228="p",'Ballot Entry'!I228,'Ballot Entry'!I228*-1)</f>
        <v>-5</v>
      </c>
      <c r="Q219" s="374">
        <f>IF('Ballot Entry'!H229="p",'Ballot Entry'!I229,'Ballot Entry'!I229*-1)</f>
        <v>0</v>
      </c>
      <c r="R219" s="57"/>
      <c r="S219" s="57"/>
      <c r="T219" s="57"/>
      <c r="U219" s="57"/>
      <c r="V219" s="57"/>
      <c r="W219" s="57"/>
      <c r="X219" s="57"/>
      <c r="Y219" s="57"/>
      <c r="Z219" s="57"/>
      <c r="AA219" s="57"/>
      <c r="AB219" s="57"/>
      <c r="AC219" s="57"/>
      <c r="AD219" s="361"/>
      <c r="AE219" s="57"/>
      <c r="AF219" s="57"/>
      <c r="AG219" s="57"/>
      <c r="AH219" s="57"/>
      <c r="AI219" s="57"/>
      <c r="AJ219" s="57"/>
      <c r="AK219" s="57"/>
      <c r="AL219" s="57"/>
      <c r="AM219" s="57"/>
      <c r="AP219" s="57"/>
      <c r="AQ219" s="57"/>
      <c r="AR219" s="57"/>
    </row>
    <row r="220" spans="1:44" ht="13.5" thickBot="1" x14ac:dyDescent="0.25">
      <c r="A220" s="64" t="str">
        <f>IF(Teams&gt;=4, IF(Ballots = 3, "3", "Hide"), "Hide")</f>
        <v>Hide</v>
      </c>
      <c r="B220" s="388"/>
      <c r="C220" s="281"/>
      <c r="D220" s="282"/>
      <c r="E220" s="282"/>
      <c r="F220" s="77"/>
      <c r="G220" s="70" t="s">
        <v>51</v>
      </c>
      <c r="H220" s="30"/>
      <c r="I220" s="247"/>
      <c r="K220" s="366">
        <f>RANK(M220,'Ballot Entry'!$M$215:$M$249,1)</f>
        <v>7</v>
      </c>
      <c r="L220" s="367">
        <f>RANK(N220,'Ballot Entry'!$N$215:$N$249,1)</f>
        <v>3</v>
      </c>
      <c r="M220" s="368">
        <f>IF(ISBLANK('Ballot Entry'!D230),9999,'Ballot Entry'!D230)</f>
        <v>1517</v>
      </c>
      <c r="N220" s="368">
        <f>IF(ISBLANK('Ballot Entry'!F230),9999,'Ballot Entry'!F230)</f>
        <v>1078</v>
      </c>
      <c r="O220" s="368">
        <f>IF('Ballot Entry'!H230="p",'Ballot Entry'!I230,'Ballot Entry'!I230*-1)</f>
        <v>1</v>
      </c>
      <c r="P220" s="368">
        <f>IF('Ballot Entry'!H231="p",'Ballot Entry'!I231,'Ballot Entry'!I231*-1)</f>
        <v>0</v>
      </c>
      <c r="Q220" s="374">
        <f>IF('Ballot Entry'!H232="p",'Ballot Entry'!I232,'Ballot Entry'!I232*-1)</f>
        <v>0</v>
      </c>
      <c r="R220" s="57"/>
      <c r="S220" s="57"/>
      <c r="T220" s="57"/>
      <c r="U220" s="57"/>
      <c r="V220" s="57"/>
      <c r="W220" s="57"/>
      <c r="X220" s="57"/>
      <c r="Y220" s="57"/>
      <c r="Z220" s="57"/>
      <c r="AA220" s="57"/>
      <c r="AB220" s="57"/>
      <c r="AC220" s="57"/>
      <c r="AD220" s="361"/>
      <c r="AE220" s="57"/>
      <c r="AF220" s="57"/>
      <c r="AG220" s="57"/>
      <c r="AH220" s="57"/>
      <c r="AI220" s="57"/>
      <c r="AJ220" s="57"/>
      <c r="AK220" s="57"/>
      <c r="AL220" s="57"/>
      <c r="AM220" s="57"/>
      <c r="AP220" s="57"/>
      <c r="AQ220" s="57"/>
      <c r="AR220" s="57"/>
    </row>
    <row r="221" spans="1:44" ht="15" thickTop="1" x14ac:dyDescent="0.3">
      <c r="A221" s="60" t="str">
        <f>IF(Teams&gt;=6, "3", "Hide")</f>
        <v>3</v>
      </c>
      <c r="B221" s="384">
        <f>B115</f>
        <v>503</v>
      </c>
      <c r="C221" s="276" t="s">
        <v>220</v>
      </c>
      <c r="D221" s="384">
        <v>1217</v>
      </c>
      <c r="E221" s="276" t="s">
        <v>221</v>
      </c>
      <c r="F221" s="74">
        <v>1410</v>
      </c>
      <c r="G221" s="67" t="s">
        <v>49</v>
      </c>
      <c r="H221" s="25" t="s">
        <v>47</v>
      </c>
      <c r="I221" s="242">
        <v>5</v>
      </c>
      <c r="K221" s="366">
        <f>RANK(M221,'Ballot Entry'!$M$215:$M$249,1)</f>
        <v>8</v>
      </c>
      <c r="L221" s="367">
        <f>RANK(N221,'Ballot Entry'!$N$215:$N$249,1)</f>
        <v>7</v>
      </c>
      <c r="M221" s="368">
        <f>IF(ISBLANK('Ballot Entry'!D233),9999,'Ballot Entry'!D233)</f>
        <v>1616</v>
      </c>
      <c r="N221" s="368">
        <f>IF(ISBLANK('Ballot Entry'!F233),9999,'Ballot Entry'!F233)</f>
        <v>1506</v>
      </c>
      <c r="O221" s="368">
        <f>IF('Ballot Entry'!H233="p",'Ballot Entry'!I233,'Ballot Entry'!I233*-1)</f>
        <v>-10</v>
      </c>
      <c r="P221" s="368">
        <f>IF('Ballot Entry'!H234="p",'Ballot Entry'!I234,'Ballot Entry'!I234*-1)</f>
        <v>11</v>
      </c>
      <c r="Q221" s="374">
        <f>IF('Ballot Entry'!H235="p",'Ballot Entry'!I235,'Ballot Entry'!I235*-1)</f>
        <v>0</v>
      </c>
      <c r="R221" s="57"/>
      <c r="S221" s="57"/>
      <c r="T221" s="57"/>
      <c r="U221" s="57"/>
      <c r="V221" s="57"/>
      <c r="W221" s="57"/>
      <c r="X221" s="57"/>
      <c r="Y221" s="57"/>
      <c r="Z221" s="57"/>
      <c r="AA221" s="57"/>
      <c r="AB221" s="57"/>
      <c r="AC221" s="57"/>
      <c r="AD221" s="361"/>
      <c r="AE221" s="57"/>
      <c r="AF221" s="57"/>
      <c r="AG221" s="57"/>
      <c r="AH221" s="57"/>
      <c r="AI221" s="57"/>
      <c r="AJ221" s="57"/>
      <c r="AK221" s="57"/>
      <c r="AL221" s="57"/>
      <c r="AM221" s="57"/>
      <c r="AP221" s="57"/>
      <c r="AQ221" s="57"/>
      <c r="AR221" s="57"/>
    </row>
    <row r="222" spans="1:44" x14ac:dyDescent="0.2">
      <c r="A222" s="61" t="str">
        <f>IF(Teams&gt;=6, "3", "Hide")</f>
        <v>3</v>
      </c>
      <c r="G222" s="68" t="s">
        <v>50</v>
      </c>
      <c r="H222" s="26" t="s">
        <v>72</v>
      </c>
      <c r="I222" s="243">
        <v>0</v>
      </c>
      <c r="K222" s="366">
        <f>RANK(M222,'Ballot Entry'!$M$215:$M$249,1)</f>
        <v>3</v>
      </c>
      <c r="L222" s="367">
        <f>RANK(N222,'Ballot Entry'!$N$215:$N$249,1)</f>
        <v>8</v>
      </c>
      <c r="M222" s="368">
        <f>IF(ISBLANK('Ballot Entry'!D236),9999,'Ballot Entry'!D236)</f>
        <v>1258</v>
      </c>
      <c r="N222" s="368">
        <f>IF(ISBLANK('Ballot Entry'!F236),9999,'Ballot Entry'!F236)</f>
        <v>1557</v>
      </c>
      <c r="O222" s="368">
        <f>IF('Ballot Entry'!H236="p",'Ballot Entry'!I236,'Ballot Entry'!I236*-1)</f>
        <v>-15</v>
      </c>
      <c r="P222" s="368">
        <f>IF('Ballot Entry'!H237="p",'Ballot Entry'!I237,'Ballot Entry'!I237*-1)</f>
        <v>-2</v>
      </c>
      <c r="Q222" s="374">
        <f>IF('Ballot Entry'!H238="p",'Ballot Entry'!I238,'Ballot Entry'!I238*-1)</f>
        <v>0</v>
      </c>
      <c r="R222" s="57"/>
      <c r="S222" s="57"/>
      <c r="T222" s="57"/>
      <c r="U222" s="57"/>
      <c r="V222" s="57"/>
      <c r="W222" s="57"/>
      <c r="X222" s="57"/>
      <c r="Y222" s="57"/>
      <c r="Z222" s="57"/>
      <c r="AA222" s="57"/>
      <c r="AB222" s="57"/>
      <c r="AC222" s="57"/>
      <c r="AD222" s="361"/>
      <c r="AE222" s="57"/>
      <c r="AF222" s="57"/>
      <c r="AG222" s="57"/>
      <c r="AH222" s="57"/>
      <c r="AI222" s="57"/>
      <c r="AJ222" s="57"/>
      <c r="AK222" s="57"/>
      <c r="AL222" s="57"/>
      <c r="AM222" s="57"/>
      <c r="AP222" s="57"/>
      <c r="AQ222" s="57"/>
      <c r="AR222" s="57"/>
    </row>
    <row r="223" spans="1:44" ht="13.5" thickBot="1" x14ac:dyDescent="0.25">
      <c r="A223" s="61" t="str">
        <f>IF(Teams&gt;=6, IF(Ballots = 3, "3", "Hide"), "Hide")</f>
        <v>Hide</v>
      </c>
      <c r="B223" s="386"/>
      <c r="C223" s="277"/>
      <c r="D223" s="278"/>
      <c r="E223" s="278"/>
      <c r="F223" s="75"/>
      <c r="G223" s="68" t="s">
        <v>51</v>
      </c>
      <c r="H223" s="27"/>
      <c r="I223" s="244"/>
      <c r="K223" s="366">
        <f>RANK(M223,'Ballot Entry'!$M$215:$M$249,1)</f>
        <v>4</v>
      </c>
      <c r="L223" s="367">
        <f>RANK(N223,'Ballot Entry'!$N$215:$N$249,1)</f>
        <v>1</v>
      </c>
      <c r="M223" s="368">
        <f>IF(ISBLANK('Ballot Entry'!D239),9999,'Ballot Entry'!D239)</f>
        <v>1262</v>
      </c>
      <c r="N223" s="368">
        <f>IF(ISBLANK('Ballot Entry'!F239),9999,'Ballot Entry'!F239)</f>
        <v>1029</v>
      </c>
      <c r="O223" s="368">
        <f>IF('Ballot Entry'!H239="p",'Ballot Entry'!I239,'Ballot Entry'!I239*-1)</f>
        <v>-3</v>
      </c>
      <c r="P223" s="368">
        <f>IF('Ballot Entry'!H240="p",'Ballot Entry'!I240,'Ballot Entry'!I240*-1)</f>
        <v>-14</v>
      </c>
      <c r="Q223" s="374">
        <f>IF('Ballot Entry'!H241="p",'Ballot Entry'!I241,'Ballot Entry'!I241*-1)</f>
        <v>0</v>
      </c>
      <c r="R223" s="57"/>
      <c r="S223" s="57"/>
      <c r="T223" s="57"/>
      <c r="U223" s="57"/>
      <c r="V223" s="57"/>
      <c r="W223" s="57"/>
      <c r="X223" s="57"/>
      <c r="Y223" s="57"/>
      <c r="Z223" s="57"/>
      <c r="AA223" s="57"/>
      <c r="AB223" s="57"/>
      <c r="AC223" s="57"/>
      <c r="AD223" s="361"/>
      <c r="AE223" s="57"/>
      <c r="AF223" s="57"/>
      <c r="AG223" s="57"/>
      <c r="AH223" s="57"/>
      <c r="AI223" s="57"/>
      <c r="AJ223" s="57"/>
      <c r="AK223" s="57"/>
      <c r="AL223" s="57"/>
      <c r="AM223" s="57"/>
      <c r="AP223" s="57"/>
      <c r="AQ223" s="57"/>
      <c r="AR223" s="57"/>
    </row>
    <row r="224" spans="1:44" ht="15" thickTop="1" x14ac:dyDescent="0.3">
      <c r="A224" s="62" t="str">
        <f>IF(Teams&gt;=8, "3", "Hide")</f>
        <v>3</v>
      </c>
      <c r="B224" s="387">
        <f>B118</f>
        <v>504</v>
      </c>
      <c r="C224" s="279" t="s">
        <v>220</v>
      </c>
      <c r="D224" s="280">
        <v>1489</v>
      </c>
      <c r="E224" s="279" t="s">
        <v>221</v>
      </c>
      <c r="F224" s="76">
        <v>1224</v>
      </c>
      <c r="G224" s="69" t="s">
        <v>49</v>
      </c>
      <c r="H224" s="28" t="s">
        <v>47</v>
      </c>
      <c r="I224" s="245">
        <v>6</v>
      </c>
      <c r="K224" s="366">
        <f>RANK(M224,'Ballot Entry'!$M$215:$M$249,1)</f>
        <v>10</v>
      </c>
      <c r="L224" s="367">
        <f>RANK(N224,'Ballot Entry'!$N$215:$N$249,1)</f>
        <v>10</v>
      </c>
      <c r="M224" s="368">
        <f>IF(ISBLANK('Ballot Entry'!D242),9999,'Ballot Entry'!D242)</f>
        <v>9999</v>
      </c>
      <c r="N224" s="368">
        <f>IF(ISBLANK('Ballot Entry'!F242),9999,'Ballot Entry'!F242)</f>
        <v>9999</v>
      </c>
      <c r="O224" s="368">
        <f>IF('Ballot Entry'!H242="p",'Ballot Entry'!I242,'Ballot Entry'!I242*-1)</f>
        <v>0</v>
      </c>
      <c r="P224" s="368">
        <f>IF('Ballot Entry'!H243="p",'Ballot Entry'!I243,'Ballot Entry'!I243*-1)</f>
        <v>0</v>
      </c>
      <c r="Q224" s="374">
        <f>IF('Ballot Entry'!H244="p",'Ballot Entry'!I244,'Ballot Entry'!I244*-1)</f>
        <v>0</v>
      </c>
      <c r="R224" s="57"/>
      <c r="S224" s="57"/>
      <c r="T224" s="57"/>
      <c r="U224" s="57"/>
      <c r="V224" s="57"/>
      <c r="W224" s="57"/>
      <c r="X224" s="57"/>
      <c r="Y224" s="57"/>
      <c r="Z224" s="57"/>
      <c r="AA224" s="57"/>
      <c r="AB224" s="57"/>
      <c r="AC224" s="57"/>
      <c r="AD224" s="361"/>
      <c r="AE224" s="57"/>
      <c r="AF224" s="57"/>
      <c r="AG224" s="57"/>
      <c r="AH224" s="57"/>
      <c r="AI224" s="57"/>
      <c r="AJ224" s="57"/>
      <c r="AK224" s="57"/>
      <c r="AL224" s="57"/>
      <c r="AM224" s="57"/>
      <c r="AP224" s="57"/>
      <c r="AQ224" s="57"/>
      <c r="AR224" s="57"/>
    </row>
    <row r="225" spans="1:44" x14ac:dyDescent="0.2">
      <c r="A225" s="63" t="str">
        <f>IF(Teams&gt;=8, "3", "Hide")</f>
        <v>3</v>
      </c>
      <c r="B225" s="386"/>
      <c r="G225" s="68" t="s">
        <v>50</v>
      </c>
      <c r="H225" s="29" t="s">
        <v>47</v>
      </c>
      <c r="I225" s="246">
        <v>10</v>
      </c>
      <c r="K225" s="366">
        <f>RANK(M225,'Ballot Entry'!$M$215:$M$249,1)</f>
        <v>10</v>
      </c>
      <c r="L225" s="367">
        <f>RANK(N225,'Ballot Entry'!$N$215:$N$249,1)</f>
        <v>10</v>
      </c>
      <c r="M225" s="368">
        <f>IF(ISBLANK('Ballot Entry'!D245),9999,'Ballot Entry'!D245)</f>
        <v>9999</v>
      </c>
      <c r="N225" s="368">
        <f>IF(ISBLANK('Ballot Entry'!F245),9999,'Ballot Entry'!F245)</f>
        <v>9999</v>
      </c>
      <c r="O225" s="368">
        <f>IF('Ballot Entry'!H245="p",'Ballot Entry'!I245,'Ballot Entry'!I245*-1)</f>
        <v>0</v>
      </c>
      <c r="P225" s="368">
        <f>IF('Ballot Entry'!H246="p",'Ballot Entry'!I246,'Ballot Entry'!I246*-1)</f>
        <v>0</v>
      </c>
      <c r="Q225" s="374">
        <f>IF('Ballot Entry'!H247="p",'Ballot Entry'!I247,'Ballot Entry'!I247*-1)</f>
        <v>0</v>
      </c>
      <c r="R225" s="57"/>
      <c r="S225" s="57"/>
      <c r="T225" s="57"/>
      <c r="U225" s="57"/>
      <c r="V225" s="57"/>
      <c r="W225" s="57"/>
      <c r="X225" s="57"/>
      <c r="Y225" s="57"/>
      <c r="Z225" s="57"/>
      <c r="AA225" s="57"/>
      <c r="AB225" s="57"/>
      <c r="AC225" s="57"/>
      <c r="AD225" s="361"/>
      <c r="AE225" s="57"/>
      <c r="AF225" s="57"/>
      <c r="AG225" s="57"/>
      <c r="AH225" s="57"/>
      <c r="AI225" s="57"/>
      <c r="AJ225" s="57"/>
      <c r="AK225" s="57"/>
      <c r="AL225" s="57"/>
      <c r="AM225" s="57"/>
      <c r="AP225" s="57"/>
      <c r="AQ225" s="57"/>
      <c r="AR225" s="57"/>
    </row>
    <row r="226" spans="1:44" ht="13.5" thickBot="1" x14ac:dyDescent="0.25">
      <c r="A226" s="64" t="str">
        <f>IF(Teams&gt;=8, IF(Ballots = 3, "3", "Hide"), "Hide")</f>
        <v>Hide</v>
      </c>
      <c r="B226" s="388"/>
      <c r="C226" s="281"/>
      <c r="D226" s="282"/>
      <c r="E226" s="282"/>
      <c r="F226" s="77"/>
      <c r="G226" s="70" t="s">
        <v>51</v>
      </c>
      <c r="H226" s="30"/>
      <c r="I226" s="247"/>
      <c r="K226" s="366">
        <f>RANK(M226,'Ballot Entry'!$M$215:$M$249,1)</f>
        <v>10</v>
      </c>
      <c r="L226" s="367">
        <f>RANK(N226,'Ballot Entry'!$N$215:$N$249,1)</f>
        <v>10</v>
      </c>
      <c r="M226" s="368">
        <f>IF(ISBLANK('Ballot Entry'!D248),9999,'Ballot Entry'!D248)</f>
        <v>9999</v>
      </c>
      <c r="N226" s="368">
        <f>IF(ISBLANK('Ballot Entry'!F248),9999,'Ballot Entry'!F248)</f>
        <v>9999</v>
      </c>
      <c r="O226" s="368">
        <f>IF('Ballot Entry'!H248="p",'Ballot Entry'!I248,'Ballot Entry'!I248*-1)</f>
        <v>0</v>
      </c>
      <c r="P226" s="368">
        <f>IF('Ballot Entry'!H249="p",'Ballot Entry'!I249,'Ballot Entry'!I249*-1)</f>
        <v>0</v>
      </c>
      <c r="Q226" s="374">
        <f>IF('Ballot Entry'!H250="p",'Ballot Entry'!I250,'Ballot Entry'!I250*-1)</f>
        <v>0</v>
      </c>
      <c r="R226" s="57"/>
      <c r="S226" s="57"/>
      <c r="T226" s="57"/>
      <c r="U226" s="57"/>
      <c r="V226" s="57"/>
      <c r="W226" s="57"/>
      <c r="X226" s="57"/>
      <c r="Y226" s="57"/>
      <c r="Z226" s="57"/>
      <c r="AA226" s="57"/>
      <c r="AB226" s="57"/>
      <c r="AC226" s="57"/>
      <c r="AD226" s="361"/>
      <c r="AE226" s="57"/>
      <c r="AF226" s="57"/>
      <c r="AG226" s="57"/>
      <c r="AH226" s="57"/>
      <c r="AI226" s="57"/>
      <c r="AJ226" s="57"/>
      <c r="AK226" s="57"/>
      <c r="AL226" s="57"/>
      <c r="AM226" s="57"/>
      <c r="AP226" s="57"/>
      <c r="AQ226" s="57"/>
      <c r="AR226" s="57"/>
    </row>
    <row r="227" spans="1:44" ht="15" thickTop="1" x14ac:dyDescent="0.3">
      <c r="A227" s="60" t="str">
        <f>IF(Teams&gt;=10, "3", "Hide")</f>
        <v>3</v>
      </c>
      <c r="B227" s="384">
        <f>B121</f>
        <v>601</v>
      </c>
      <c r="C227" s="276" t="s">
        <v>220</v>
      </c>
      <c r="D227" s="384">
        <v>1001</v>
      </c>
      <c r="E227" s="276" t="s">
        <v>221</v>
      </c>
      <c r="F227" s="74">
        <v>1577</v>
      </c>
      <c r="G227" s="67" t="s">
        <v>49</v>
      </c>
      <c r="H227" s="25" t="s">
        <v>72</v>
      </c>
      <c r="I227" s="242">
        <v>0</v>
      </c>
      <c r="K227" s="366">
        <f>RANK(M227,'Ballot Entry'!$M$215:$M$249,1)</f>
        <v>10</v>
      </c>
      <c r="L227" s="367">
        <f>RANK(N227,'Ballot Entry'!$N$215:$N$249,1)</f>
        <v>10</v>
      </c>
      <c r="M227" s="368">
        <f>IF(ISBLANK('Ballot Entry'!D251),9999,'Ballot Entry'!D251)</f>
        <v>9999</v>
      </c>
      <c r="N227" s="368">
        <f>IF(ISBLANK('Ballot Entry'!F251),9999,'Ballot Entry'!F251)</f>
        <v>9999</v>
      </c>
      <c r="O227" s="368">
        <f>IF('Ballot Entry'!H251="p",'Ballot Entry'!I251,'Ballot Entry'!I251*-1)</f>
        <v>0</v>
      </c>
      <c r="P227" s="368">
        <f>IF('Ballot Entry'!H252="p",'Ballot Entry'!I252,'Ballot Entry'!I252*-1)</f>
        <v>0</v>
      </c>
      <c r="Q227" s="374">
        <f>IF('Ballot Entry'!H253="p",'Ballot Entry'!I253,'Ballot Entry'!I253*-1)</f>
        <v>0</v>
      </c>
      <c r="R227" s="57"/>
      <c r="S227" s="57"/>
      <c r="T227" s="57"/>
      <c r="U227" s="57"/>
      <c r="V227" s="57"/>
      <c r="W227" s="57"/>
      <c r="X227" s="57"/>
      <c r="Y227" s="57"/>
      <c r="Z227" s="57"/>
      <c r="AA227" s="57"/>
      <c r="AB227" s="57"/>
      <c r="AC227" s="57"/>
      <c r="AD227" s="361"/>
      <c r="AE227" s="57"/>
      <c r="AF227" s="57"/>
      <c r="AG227" s="57"/>
      <c r="AH227" s="57"/>
      <c r="AI227" s="57"/>
      <c r="AJ227" s="57"/>
      <c r="AK227" s="57"/>
      <c r="AL227" s="57"/>
      <c r="AM227" s="57"/>
      <c r="AP227" s="57"/>
      <c r="AQ227" s="57"/>
      <c r="AR227" s="57"/>
    </row>
    <row r="228" spans="1:44" x14ac:dyDescent="0.2">
      <c r="A228" s="61" t="str">
        <f>IF(Teams&gt;=10, "3", "Hide")</f>
        <v>3</v>
      </c>
      <c r="G228" s="68" t="s">
        <v>50</v>
      </c>
      <c r="H228" s="26" t="s">
        <v>47</v>
      </c>
      <c r="I228" s="243">
        <v>5</v>
      </c>
      <c r="K228" s="366">
        <f>RANK(M228,'Ballot Entry'!$M$215:$M$249,1)</f>
        <v>10</v>
      </c>
      <c r="L228" s="367">
        <f>RANK(N228,'Ballot Entry'!$N$215:$N$249,1)</f>
        <v>10</v>
      </c>
      <c r="M228" s="368">
        <f>IF(ISBLANK('Ballot Entry'!D254),9999,'Ballot Entry'!D254)</f>
        <v>9999</v>
      </c>
      <c r="N228" s="368">
        <f>IF(ISBLANK('Ballot Entry'!F254),9999,'Ballot Entry'!F254)</f>
        <v>9999</v>
      </c>
      <c r="O228" s="368">
        <f>IF('Ballot Entry'!H254="p",'Ballot Entry'!I254,'Ballot Entry'!I254*-1)</f>
        <v>0</v>
      </c>
      <c r="P228" s="368">
        <f>IF('Ballot Entry'!H255="p",'Ballot Entry'!I255,'Ballot Entry'!I255*-1)</f>
        <v>0</v>
      </c>
      <c r="Q228" s="374">
        <f>IF('Ballot Entry'!H256="p",'Ballot Entry'!I256,'Ballot Entry'!I256*-1)</f>
        <v>0</v>
      </c>
      <c r="R228" s="57"/>
      <c r="S228" s="57"/>
      <c r="T228" s="57"/>
      <c r="U228" s="57"/>
      <c r="V228" s="57"/>
      <c r="W228" s="57"/>
      <c r="X228" s="57"/>
      <c r="Y228" s="57"/>
      <c r="Z228" s="57"/>
      <c r="AA228" s="57"/>
      <c r="AB228" s="57"/>
      <c r="AC228" s="57"/>
      <c r="AD228" s="361"/>
      <c r="AE228" s="57"/>
      <c r="AF228" s="57"/>
      <c r="AG228" s="57"/>
      <c r="AH228" s="57"/>
      <c r="AI228" s="57"/>
      <c r="AJ228" s="57"/>
      <c r="AK228" s="57"/>
      <c r="AL228" s="57"/>
      <c r="AM228" s="57"/>
      <c r="AP228" s="57"/>
      <c r="AQ228" s="57"/>
      <c r="AR228" s="57"/>
    </row>
    <row r="229" spans="1:44" ht="13.5" thickBot="1" x14ac:dyDescent="0.25">
      <c r="A229" s="61" t="str">
        <f>IF(Teams&gt;=10, IF(Ballots = 3, "3", "Hide"), "Hide")</f>
        <v>Hide</v>
      </c>
      <c r="B229" s="386"/>
      <c r="C229" s="277"/>
      <c r="D229" s="278"/>
      <c r="E229" s="278"/>
      <c r="F229" s="75"/>
      <c r="G229" s="68" t="s">
        <v>51</v>
      </c>
      <c r="H229" s="27"/>
      <c r="I229" s="244"/>
      <c r="K229" s="366">
        <f>RANK(M229,'Ballot Entry'!$M$215:$M$249,1)</f>
        <v>10</v>
      </c>
      <c r="L229" s="367">
        <f>RANK(N229,'Ballot Entry'!$N$215:$N$249,1)</f>
        <v>10</v>
      </c>
      <c r="M229" s="368">
        <f>IF(ISBLANK('Ballot Entry'!D257),9999,'Ballot Entry'!D257)</f>
        <v>9999</v>
      </c>
      <c r="N229" s="368">
        <f>IF(ISBLANK('Ballot Entry'!F257),9999,'Ballot Entry'!F257)</f>
        <v>9999</v>
      </c>
      <c r="O229" s="368">
        <f>IF('Ballot Entry'!H257="p",'Ballot Entry'!I257,'Ballot Entry'!I257*-1)</f>
        <v>0</v>
      </c>
      <c r="P229" s="368">
        <f>IF('Ballot Entry'!H258="p",'Ballot Entry'!I258,'Ballot Entry'!I258*-1)</f>
        <v>0</v>
      </c>
      <c r="Q229" s="374">
        <f>IF('Ballot Entry'!H259="p",'Ballot Entry'!I259,'Ballot Entry'!I259*-1)</f>
        <v>0</v>
      </c>
      <c r="R229" s="57"/>
      <c r="S229" s="57"/>
      <c r="T229" s="57"/>
      <c r="U229" s="57"/>
      <c r="V229" s="57"/>
      <c r="W229" s="57"/>
      <c r="X229" s="57"/>
      <c r="Y229" s="57"/>
      <c r="Z229" s="57"/>
      <c r="AA229" s="57"/>
      <c r="AB229" s="57"/>
      <c r="AC229" s="57"/>
      <c r="AD229" s="361"/>
      <c r="AE229" s="57"/>
      <c r="AF229" s="57"/>
      <c r="AG229" s="57"/>
      <c r="AH229" s="57"/>
      <c r="AI229" s="57"/>
      <c r="AJ229" s="57"/>
      <c r="AK229" s="57"/>
      <c r="AL229" s="57"/>
      <c r="AM229" s="57"/>
      <c r="AP229" s="57"/>
      <c r="AQ229" s="57"/>
      <c r="AR229" s="57"/>
    </row>
    <row r="230" spans="1:44" ht="15" thickTop="1" x14ac:dyDescent="0.3">
      <c r="A230" s="62" t="str">
        <f>IF(Teams&gt;=12, "3", "Hide")</f>
        <v>3</v>
      </c>
      <c r="B230" s="387">
        <f>B124</f>
        <v>602</v>
      </c>
      <c r="C230" s="279" t="s">
        <v>220</v>
      </c>
      <c r="D230" s="280">
        <v>1517</v>
      </c>
      <c r="E230" s="279" t="s">
        <v>221</v>
      </c>
      <c r="F230" s="76">
        <v>1078</v>
      </c>
      <c r="G230" s="69" t="s">
        <v>49</v>
      </c>
      <c r="H230" s="28" t="s">
        <v>33</v>
      </c>
      <c r="I230" s="245">
        <v>1</v>
      </c>
      <c r="K230" s="366">
        <f>RANK(M230,'Ballot Entry'!$M$215:$M$249,1)</f>
        <v>10</v>
      </c>
      <c r="L230" s="367">
        <f>RANK(N230,'Ballot Entry'!$N$215:$N$249,1)</f>
        <v>10</v>
      </c>
      <c r="M230" s="368">
        <f>IF(ISBLANK('Ballot Entry'!D260),9999,'Ballot Entry'!D260)</f>
        <v>9999</v>
      </c>
      <c r="N230" s="368">
        <f>IF(ISBLANK('Ballot Entry'!F260),9999,'Ballot Entry'!F260)</f>
        <v>9999</v>
      </c>
      <c r="O230" s="368">
        <f>IF('Ballot Entry'!H260="p",'Ballot Entry'!I260,'Ballot Entry'!I260*-1)</f>
        <v>0</v>
      </c>
      <c r="P230" s="368">
        <f>IF('Ballot Entry'!H261="p",'Ballot Entry'!I261,'Ballot Entry'!I261*-1)</f>
        <v>0</v>
      </c>
      <c r="Q230" s="374">
        <f>IF('Ballot Entry'!H262="p",'Ballot Entry'!I262,'Ballot Entry'!I262*-1)</f>
        <v>0</v>
      </c>
      <c r="R230" s="57"/>
      <c r="S230" s="57"/>
      <c r="T230" s="57"/>
      <c r="U230" s="57"/>
      <c r="V230" s="57"/>
      <c r="W230" s="57"/>
      <c r="X230" s="57"/>
      <c r="Y230" s="57"/>
      <c r="Z230" s="57"/>
      <c r="AA230" s="57"/>
      <c r="AB230" s="57"/>
      <c r="AC230" s="57"/>
      <c r="AD230" s="361"/>
      <c r="AE230" s="57"/>
      <c r="AF230" s="57"/>
      <c r="AG230" s="57"/>
      <c r="AH230" s="57"/>
      <c r="AI230" s="57"/>
      <c r="AJ230" s="57"/>
      <c r="AK230" s="57"/>
      <c r="AL230" s="57"/>
      <c r="AM230" s="57"/>
      <c r="AP230" s="57"/>
      <c r="AQ230" s="57"/>
      <c r="AR230" s="57"/>
    </row>
    <row r="231" spans="1:44" x14ac:dyDescent="0.2">
      <c r="A231" s="63" t="str">
        <f>IF(Teams&gt;=12, "3", "Hide")</f>
        <v>3</v>
      </c>
      <c r="B231" s="386"/>
      <c r="G231" s="68" t="s">
        <v>50</v>
      </c>
      <c r="H231" s="29" t="s">
        <v>72</v>
      </c>
      <c r="I231" s="246">
        <v>0</v>
      </c>
      <c r="K231" s="366">
        <f>RANK(M231,'Ballot Entry'!$M$215:$M$249,1)</f>
        <v>10</v>
      </c>
      <c r="L231" s="367">
        <f>RANK(N231,'Ballot Entry'!$N$215:$N$249,1)</f>
        <v>10</v>
      </c>
      <c r="M231" s="368">
        <f>IF(ISBLANK('Ballot Entry'!D263),9999,'Ballot Entry'!D263)</f>
        <v>9999</v>
      </c>
      <c r="N231" s="368">
        <f>IF(ISBLANK('Ballot Entry'!F263),9999,'Ballot Entry'!F263)</f>
        <v>9999</v>
      </c>
      <c r="O231" s="368">
        <f>IF('Ballot Entry'!H263="p",'Ballot Entry'!I263,'Ballot Entry'!I263*-1)</f>
        <v>0</v>
      </c>
      <c r="P231" s="368">
        <f>IF('Ballot Entry'!H264="p",'Ballot Entry'!I264,'Ballot Entry'!I264*-1)</f>
        <v>0</v>
      </c>
      <c r="Q231" s="374">
        <f>IF('Ballot Entry'!H265="p",'Ballot Entry'!I265,'Ballot Entry'!I265*-1)</f>
        <v>0</v>
      </c>
      <c r="R231" s="57"/>
      <c r="S231" s="57"/>
      <c r="T231" s="57"/>
      <c r="U231" s="57"/>
      <c r="V231" s="57"/>
      <c r="W231" s="57"/>
      <c r="X231" s="57"/>
      <c r="Y231" s="57"/>
      <c r="Z231" s="57"/>
      <c r="AA231" s="57"/>
      <c r="AB231" s="57"/>
      <c r="AC231" s="57"/>
      <c r="AD231" s="361"/>
      <c r="AE231" s="57"/>
      <c r="AF231" s="57"/>
      <c r="AG231" s="57"/>
      <c r="AH231" s="57"/>
      <c r="AI231" s="57"/>
      <c r="AJ231" s="57"/>
      <c r="AK231" s="57"/>
      <c r="AL231" s="57"/>
      <c r="AM231" s="57"/>
      <c r="AP231" s="57"/>
      <c r="AQ231" s="57"/>
      <c r="AR231" s="57"/>
    </row>
    <row r="232" spans="1:44" ht="13.5" thickBot="1" x14ac:dyDescent="0.25">
      <c r="A232" s="64" t="str">
        <f>IF(Teams&gt;=12, IF(Ballots = 3, "3", "Hide"), "Hide")</f>
        <v>Hide</v>
      </c>
      <c r="B232" s="388"/>
      <c r="C232" s="281"/>
      <c r="D232" s="282"/>
      <c r="E232" s="282"/>
      <c r="F232" s="77"/>
      <c r="G232" s="70" t="s">
        <v>51</v>
      </c>
      <c r="H232" s="30"/>
      <c r="I232" s="247"/>
      <c r="K232" s="366">
        <f>RANK(M232,'Ballot Entry'!$M$215:$M$249,1)</f>
        <v>10</v>
      </c>
      <c r="L232" s="367">
        <f>RANK(N232,'Ballot Entry'!$N$215:$N$249,1)</f>
        <v>10</v>
      </c>
      <c r="M232" s="368">
        <f>IF(ISBLANK('Ballot Entry'!D266),9999,'Ballot Entry'!D266)</f>
        <v>9999</v>
      </c>
      <c r="N232" s="368">
        <f>IF(ISBLANK('Ballot Entry'!F266),9999,'Ballot Entry'!F266)</f>
        <v>9999</v>
      </c>
      <c r="O232" s="368">
        <f>IF('Ballot Entry'!H266="p",'Ballot Entry'!I266,'Ballot Entry'!I266*-1)</f>
        <v>0</v>
      </c>
      <c r="P232" s="368">
        <f>IF('Ballot Entry'!H267="p",'Ballot Entry'!I267,'Ballot Entry'!I267*-1)</f>
        <v>0</v>
      </c>
      <c r="Q232" s="374">
        <f>IF('Ballot Entry'!H268="p",'Ballot Entry'!I268,'Ballot Entry'!I268*-1)</f>
        <v>0</v>
      </c>
      <c r="R232" s="57"/>
      <c r="S232" s="57"/>
      <c r="T232" s="57"/>
      <c r="U232" s="57"/>
      <c r="V232" s="57"/>
      <c r="W232" s="57"/>
      <c r="X232" s="57"/>
      <c r="Y232" s="57"/>
      <c r="Z232" s="57"/>
      <c r="AA232" s="57"/>
      <c r="AB232" s="57"/>
      <c r="AC232" s="57"/>
      <c r="AD232" s="361"/>
      <c r="AE232" s="57"/>
      <c r="AF232" s="57"/>
      <c r="AG232" s="57"/>
      <c r="AH232" s="57"/>
      <c r="AI232" s="57"/>
      <c r="AJ232" s="57"/>
      <c r="AK232" s="57"/>
      <c r="AL232" s="57"/>
      <c r="AM232" s="57"/>
      <c r="AP232" s="57"/>
      <c r="AQ232" s="57"/>
      <c r="AR232" s="57"/>
    </row>
    <row r="233" spans="1:44" ht="15" thickTop="1" x14ac:dyDescent="0.3">
      <c r="A233" s="60" t="str">
        <f>IF(Teams&gt;=14, "3", "Hide")</f>
        <v>3</v>
      </c>
      <c r="B233" s="384">
        <f>B127</f>
        <v>603</v>
      </c>
      <c r="C233" s="276" t="s">
        <v>220</v>
      </c>
      <c r="D233" s="384">
        <v>1616</v>
      </c>
      <c r="E233" s="276" t="s">
        <v>221</v>
      </c>
      <c r="F233" s="74">
        <v>1506</v>
      </c>
      <c r="G233" s="67" t="s">
        <v>49</v>
      </c>
      <c r="H233" s="25" t="s">
        <v>47</v>
      </c>
      <c r="I233" s="242">
        <v>10</v>
      </c>
      <c r="K233" s="366">
        <f>RANK(M233,'Ballot Entry'!$M$215:$M$249,1)</f>
        <v>10</v>
      </c>
      <c r="L233" s="367">
        <f>RANK(N233,'Ballot Entry'!$N$215:$N$249,1)</f>
        <v>10</v>
      </c>
      <c r="M233" s="368">
        <f>IF(ISBLANK('Ballot Entry'!D269),9999,'Ballot Entry'!D269)</f>
        <v>9999</v>
      </c>
      <c r="N233" s="368">
        <f>IF(ISBLANK('Ballot Entry'!F269),9999,'Ballot Entry'!F269)</f>
        <v>9999</v>
      </c>
      <c r="O233" s="368">
        <f>IF('Ballot Entry'!H269="p",'Ballot Entry'!I269,'Ballot Entry'!I269*-1)</f>
        <v>0</v>
      </c>
      <c r="P233" s="368">
        <f>IF('Ballot Entry'!H270="p",'Ballot Entry'!I270,'Ballot Entry'!I270*-1)</f>
        <v>0</v>
      </c>
      <c r="Q233" s="374">
        <f>IF('Ballot Entry'!H271="p",'Ballot Entry'!I271,'Ballot Entry'!I271*-1)</f>
        <v>0</v>
      </c>
      <c r="R233" s="57"/>
      <c r="S233" s="57"/>
      <c r="T233" s="57"/>
      <c r="U233" s="57"/>
      <c r="V233" s="57"/>
      <c r="W233" s="57"/>
      <c r="X233" s="57"/>
      <c r="Y233" s="57"/>
      <c r="Z233" s="57"/>
      <c r="AA233" s="57"/>
      <c r="AB233" s="57"/>
      <c r="AC233" s="57"/>
      <c r="AD233" s="361"/>
      <c r="AE233" s="57"/>
      <c r="AF233" s="57"/>
      <c r="AG233" s="57"/>
      <c r="AH233" s="57"/>
      <c r="AI233" s="57"/>
      <c r="AJ233" s="57"/>
      <c r="AK233" s="57"/>
      <c r="AL233" s="57"/>
      <c r="AM233" s="57"/>
      <c r="AP233" s="57"/>
      <c r="AQ233" s="57"/>
      <c r="AR233" s="57"/>
    </row>
    <row r="234" spans="1:44" x14ac:dyDescent="0.2">
      <c r="A234" s="61" t="str">
        <f>IF(Teams&gt;=14, "3", "Hide")</f>
        <v>3</v>
      </c>
      <c r="G234" s="68" t="s">
        <v>50</v>
      </c>
      <c r="H234" s="26" t="s">
        <v>33</v>
      </c>
      <c r="I234" s="243">
        <v>11</v>
      </c>
      <c r="K234" s="366">
        <f>RANK(M234,'Ballot Entry'!$M$215:$M$249,1)</f>
        <v>10</v>
      </c>
      <c r="L234" s="367">
        <f>RANK(N234,'Ballot Entry'!$N$215:$N$249,1)</f>
        <v>10</v>
      </c>
      <c r="M234" s="368">
        <f>IF(ISBLANK('Ballot Entry'!D272),9999,'Ballot Entry'!D272)</f>
        <v>9999</v>
      </c>
      <c r="N234" s="368">
        <f>IF(ISBLANK('Ballot Entry'!F272),9999,'Ballot Entry'!F272)</f>
        <v>9999</v>
      </c>
      <c r="O234" s="368">
        <f>IF('Ballot Entry'!H272="p",'Ballot Entry'!I272,'Ballot Entry'!I272*-1)</f>
        <v>0</v>
      </c>
      <c r="P234" s="368">
        <f>IF('Ballot Entry'!H273="p",'Ballot Entry'!I273,'Ballot Entry'!I273*-1)</f>
        <v>0</v>
      </c>
      <c r="Q234" s="374">
        <f>IF('Ballot Entry'!H274="p",'Ballot Entry'!I274,'Ballot Entry'!I274*-1)</f>
        <v>0</v>
      </c>
      <c r="R234" s="57"/>
      <c r="S234" s="57"/>
      <c r="T234" s="57"/>
      <c r="U234" s="57"/>
      <c r="V234" s="57"/>
      <c r="W234" s="57"/>
      <c r="X234" s="57"/>
      <c r="Y234" s="57"/>
      <c r="Z234" s="57"/>
      <c r="AA234" s="57"/>
      <c r="AB234" s="57"/>
      <c r="AC234" s="57"/>
      <c r="AD234" s="361"/>
      <c r="AE234" s="57"/>
      <c r="AF234" s="57"/>
      <c r="AG234" s="57"/>
      <c r="AH234" s="57"/>
      <c r="AI234" s="57"/>
      <c r="AJ234" s="57"/>
      <c r="AK234" s="57"/>
      <c r="AL234" s="57"/>
      <c r="AM234" s="57"/>
      <c r="AP234" s="57"/>
      <c r="AQ234" s="57"/>
      <c r="AR234" s="57"/>
    </row>
    <row r="235" spans="1:44" ht="13.5" thickBot="1" x14ac:dyDescent="0.25">
      <c r="A235" s="61" t="str">
        <f>IF(Teams&gt;=14, IF(Ballots = 3, "3", "Hide"), "Hide")</f>
        <v>Hide</v>
      </c>
      <c r="B235" s="386"/>
      <c r="C235" s="277"/>
      <c r="D235" s="278"/>
      <c r="E235" s="278"/>
      <c r="F235" s="75"/>
      <c r="G235" s="68" t="s">
        <v>51</v>
      </c>
      <c r="H235" s="27"/>
      <c r="I235" s="244"/>
      <c r="K235" s="366">
        <f>RANK(M235,'Ballot Entry'!$M$215:$M$249,1)</f>
        <v>10</v>
      </c>
      <c r="L235" s="367">
        <f>RANK(N235,'Ballot Entry'!$N$215:$N$249,1)</f>
        <v>10</v>
      </c>
      <c r="M235" s="368">
        <f>IF(ISBLANK('Ballot Entry'!D275),9999,'Ballot Entry'!D275)</f>
        <v>9999</v>
      </c>
      <c r="N235" s="368">
        <f>IF(ISBLANK('Ballot Entry'!F275),9999,'Ballot Entry'!F275)</f>
        <v>9999</v>
      </c>
      <c r="O235" s="367">
        <f>IF('Ballot Entry'!H275="p",'Ballot Entry'!I275,'Ballot Entry'!I275*-1)</f>
        <v>0</v>
      </c>
      <c r="P235" s="367">
        <f>IF('Ballot Entry'!H276="p",'Ballot Entry'!I276,'Ballot Entry'!I276*-1)</f>
        <v>0</v>
      </c>
      <c r="Q235" s="369">
        <f>IF('Ballot Entry'!H277="p",'Ballot Entry'!I277,'Ballot Entry'!I277*-1)</f>
        <v>0</v>
      </c>
      <c r="R235" s="57"/>
      <c r="S235" s="57"/>
      <c r="T235" s="57"/>
      <c r="U235" s="57"/>
      <c r="V235" s="57"/>
      <c r="W235" s="57"/>
      <c r="X235" s="57"/>
      <c r="Y235" s="57"/>
      <c r="Z235" s="57"/>
      <c r="AA235" s="57"/>
      <c r="AB235" s="57"/>
      <c r="AC235" s="57"/>
      <c r="AD235" s="361"/>
      <c r="AE235" s="57"/>
      <c r="AF235" s="57"/>
      <c r="AG235" s="57"/>
      <c r="AH235" s="57"/>
      <c r="AI235" s="57"/>
      <c r="AJ235" s="57"/>
      <c r="AK235" s="57"/>
      <c r="AL235" s="57"/>
      <c r="AM235" s="57"/>
      <c r="AP235" s="57"/>
      <c r="AQ235" s="57"/>
      <c r="AR235" s="57"/>
    </row>
    <row r="236" spans="1:44" ht="15" thickTop="1" x14ac:dyDescent="0.3">
      <c r="A236" s="62" t="str">
        <f>IF(Teams&gt;=16, "3", "Hide")</f>
        <v>3</v>
      </c>
      <c r="B236" s="387">
        <f>B130</f>
        <v>604</v>
      </c>
      <c r="C236" s="279" t="s">
        <v>220</v>
      </c>
      <c r="D236" s="280">
        <v>1258</v>
      </c>
      <c r="E236" s="279" t="s">
        <v>221</v>
      </c>
      <c r="F236" s="76">
        <v>1557</v>
      </c>
      <c r="G236" s="69" t="s">
        <v>49</v>
      </c>
      <c r="H236" s="28" t="s">
        <v>47</v>
      </c>
      <c r="I236" s="245">
        <v>15</v>
      </c>
      <c r="K236" s="366">
        <f>RANK(M236,'Ballot Entry'!$M$215:$M$249,1)</f>
        <v>10</v>
      </c>
      <c r="L236" s="367">
        <f>RANK(N236,'Ballot Entry'!$N$215:$N$249,1)</f>
        <v>10</v>
      </c>
      <c r="M236" s="368">
        <f>IF(ISBLANK('Ballot Entry'!D278),9999,'Ballot Entry'!D278)</f>
        <v>9999</v>
      </c>
      <c r="N236" s="368">
        <f>IF(ISBLANK('Ballot Entry'!F278),9999,'Ballot Entry'!F278)</f>
        <v>9999</v>
      </c>
      <c r="O236" s="367">
        <f>IF('Ballot Entry'!H278="p",'Ballot Entry'!I278,'Ballot Entry'!I278*-1)</f>
        <v>0</v>
      </c>
      <c r="P236" s="367">
        <f>IF('Ballot Entry'!H279="p",'Ballot Entry'!I279,'Ballot Entry'!I279*-1)</f>
        <v>0</v>
      </c>
      <c r="Q236" s="369">
        <f>IF('Ballot Entry'!H280="p",'Ballot Entry'!I280,'Ballot Entry'!I280*-1)</f>
        <v>0</v>
      </c>
      <c r="R236" s="57"/>
      <c r="S236" s="57"/>
      <c r="T236" s="57"/>
      <c r="U236" s="57"/>
      <c r="V236" s="57"/>
      <c r="W236" s="57"/>
      <c r="X236" s="57"/>
      <c r="Y236" s="57"/>
      <c r="Z236" s="57"/>
      <c r="AA236" s="57"/>
      <c r="AB236" s="57"/>
      <c r="AC236" s="57"/>
      <c r="AD236" s="361"/>
      <c r="AE236" s="57"/>
      <c r="AF236" s="57"/>
      <c r="AG236" s="57"/>
      <c r="AH236" s="57"/>
      <c r="AI236" s="57"/>
      <c r="AJ236" s="57"/>
      <c r="AK236" s="57"/>
      <c r="AL236" s="57"/>
      <c r="AM236" s="57"/>
      <c r="AP236" s="57"/>
      <c r="AQ236" s="57"/>
      <c r="AR236" s="57"/>
    </row>
    <row r="237" spans="1:44" x14ac:dyDescent="0.2">
      <c r="A237" s="63" t="str">
        <f>IF(Teams&gt;=16, "3", "Hide")</f>
        <v>3</v>
      </c>
      <c r="B237" s="386"/>
      <c r="G237" s="68" t="s">
        <v>50</v>
      </c>
      <c r="H237" s="29" t="s">
        <v>47</v>
      </c>
      <c r="I237" s="246">
        <v>2</v>
      </c>
      <c r="K237" s="366">
        <f>RANK(M237,'Ballot Entry'!$M$215:$M$249,1)</f>
        <v>10</v>
      </c>
      <c r="L237" s="367">
        <f>RANK(N237,'Ballot Entry'!$N$215:$N$249,1)</f>
        <v>10</v>
      </c>
      <c r="M237" s="368">
        <f>IF(ISBLANK('Ballot Entry'!D281),9999,'Ballot Entry'!D281)</f>
        <v>9999</v>
      </c>
      <c r="N237" s="368">
        <f>IF(ISBLANK('Ballot Entry'!F281),9999,'Ballot Entry'!F281)</f>
        <v>9999</v>
      </c>
      <c r="O237" s="367">
        <f>IF('Ballot Entry'!H281="p",'Ballot Entry'!I281,'Ballot Entry'!I281*-1)</f>
        <v>0</v>
      </c>
      <c r="P237" s="367">
        <f>IF('Ballot Entry'!H282="p",'Ballot Entry'!I282,'Ballot Entry'!I282*-1)</f>
        <v>0</v>
      </c>
      <c r="Q237" s="369">
        <f>IF('Ballot Entry'!H283="p",'Ballot Entry'!I283,'Ballot Entry'!I283*-1)</f>
        <v>0</v>
      </c>
      <c r="R237" s="57"/>
      <c r="S237" s="57"/>
      <c r="T237" s="57"/>
      <c r="U237" s="57"/>
      <c r="V237" s="57"/>
      <c r="W237" s="57"/>
      <c r="X237" s="57"/>
      <c r="Y237" s="57"/>
      <c r="Z237" s="57"/>
      <c r="AA237" s="57"/>
      <c r="AB237" s="57"/>
      <c r="AC237" s="57"/>
      <c r="AD237" s="361"/>
      <c r="AE237" s="57"/>
      <c r="AF237" s="57"/>
      <c r="AG237" s="57"/>
      <c r="AH237" s="57"/>
      <c r="AI237" s="57"/>
      <c r="AJ237" s="57"/>
      <c r="AK237" s="57"/>
      <c r="AL237" s="57"/>
      <c r="AM237" s="57"/>
      <c r="AP237" s="57"/>
      <c r="AQ237" s="57"/>
      <c r="AR237" s="57"/>
    </row>
    <row r="238" spans="1:44" ht="13.5" thickBot="1" x14ac:dyDescent="0.25">
      <c r="A238" s="64" t="str">
        <f>IF(Teams&gt;=16, IF(Ballots = 3, "3", "Hide"), "Hide")</f>
        <v>Hide</v>
      </c>
      <c r="B238" s="388"/>
      <c r="C238" s="281"/>
      <c r="D238" s="282"/>
      <c r="E238" s="282"/>
      <c r="F238" s="77"/>
      <c r="G238" s="70" t="s">
        <v>51</v>
      </c>
      <c r="H238" s="30"/>
      <c r="I238" s="247"/>
      <c r="K238" s="366">
        <f>RANK(M238,'Ballot Entry'!$M$215:$M$249,1)</f>
        <v>10</v>
      </c>
      <c r="L238" s="367">
        <f>RANK(N238,'Ballot Entry'!$N$215:$N$249,1)</f>
        <v>10</v>
      </c>
      <c r="M238" s="368">
        <f>IF(ISBLANK('Ballot Entry'!D284),9999,'Ballot Entry'!D284)</f>
        <v>9999</v>
      </c>
      <c r="N238" s="368">
        <f>IF(ISBLANK('Ballot Entry'!F284),9999,'Ballot Entry'!F284)</f>
        <v>9999</v>
      </c>
      <c r="O238" s="367">
        <f>IF('Ballot Entry'!H284="p",'Ballot Entry'!I284,'Ballot Entry'!I284*-1)</f>
        <v>0</v>
      </c>
      <c r="P238" s="367">
        <f>IF('Ballot Entry'!H285="p",'Ballot Entry'!I285,'Ballot Entry'!I285*-1)</f>
        <v>0</v>
      </c>
      <c r="Q238" s="369">
        <f>IF('Ballot Entry'!H286="p",'Ballot Entry'!I286,'Ballot Entry'!I286*-1)</f>
        <v>0</v>
      </c>
      <c r="R238" s="57"/>
      <c r="S238" s="57"/>
      <c r="T238" s="57"/>
      <c r="U238" s="57"/>
      <c r="V238" s="57"/>
      <c r="W238" s="57"/>
      <c r="X238" s="57"/>
      <c r="Y238" s="57"/>
      <c r="Z238" s="57"/>
      <c r="AA238" s="57"/>
      <c r="AB238" s="57"/>
      <c r="AC238" s="57"/>
      <c r="AD238" s="361"/>
      <c r="AE238" s="57"/>
      <c r="AF238" s="57"/>
      <c r="AG238" s="57"/>
      <c r="AH238" s="57"/>
      <c r="AI238" s="57"/>
      <c r="AJ238" s="57"/>
      <c r="AK238" s="57"/>
      <c r="AL238" s="57"/>
      <c r="AM238" s="57"/>
      <c r="AP238" s="57"/>
      <c r="AQ238" s="57"/>
      <c r="AR238" s="57"/>
    </row>
    <row r="239" spans="1:44" ht="15" thickTop="1" x14ac:dyDescent="0.3">
      <c r="A239" s="60" t="str">
        <f>IF(Teams&gt;=18, "3", "Hide")</f>
        <v>3</v>
      </c>
      <c r="B239" s="384" t="str">
        <f>B133</f>
        <v>MCR - 7th</v>
      </c>
      <c r="C239" s="276" t="s">
        <v>220</v>
      </c>
      <c r="D239" s="384">
        <v>1262</v>
      </c>
      <c r="E239" s="276" t="s">
        <v>221</v>
      </c>
      <c r="F239" s="74">
        <v>1029</v>
      </c>
      <c r="G239" s="67" t="s">
        <v>49</v>
      </c>
      <c r="H239" s="25" t="s">
        <v>47</v>
      </c>
      <c r="I239" s="242">
        <v>3</v>
      </c>
      <c r="K239" s="366">
        <f>RANK(M239,'Ballot Entry'!$M$215:$M$249,1)</f>
        <v>10</v>
      </c>
      <c r="L239" s="367">
        <f>RANK(N239,'Ballot Entry'!$N$215:$N$249,1)</f>
        <v>10</v>
      </c>
      <c r="M239" s="368">
        <f>IF(ISBLANK('Ballot Entry'!D287),9999,'Ballot Entry'!D287)</f>
        <v>9999</v>
      </c>
      <c r="N239" s="368">
        <f>IF(ISBLANK('Ballot Entry'!F287),9999,'Ballot Entry'!F287)</f>
        <v>9999</v>
      </c>
      <c r="O239" s="367">
        <f>IF('Ballot Entry'!H287="p",'Ballot Entry'!I287,'Ballot Entry'!I287*-1)</f>
        <v>0</v>
      </c>
      <c r="P239" s="367">
        <f>IF('Ballot Entry'!H288="p",'Ballot Entry'!I288,'Ballot Entry'!I288*-1)</f>
        <v>0</v>
      </c>
      <c r="Q239" s="369">
        <f>IF('Ballot Entry'!H289="p",'Ballot Entry'!I289,'Ballot Entry'!I289*-1)</f>
        <v>0</v>
      </c>
      <c r="R239" s="57"/>
      <c r="S239" s="57"/>
      <c r="T239" s="57"/>
      <c r="U239" s="57"/>
      <c r="V239" s="57"/>
      <c r="W239" s="57"/>
      <c r="X239" s="57"/>
      <c r="Y239" s="57"/>
      <c r="Z239" s="57"/>
      <c r="AA239" s="57"/>
      <c r="AB239" s="57"/>
      <c r="AC239" s="57"/>
      <c r="AD239" s="361"/>
      <c r="AE239" s="57"/>
      <c r="AF239" s="57"/>
      <c r="AG239" s="57"/>
      <c r="AH239" s="57"/>
      <c r="AI239" s="57"/>
      <c r="AJ239" s="57"/>
      <c r="AK239" s="57"/>
      <c r="AL239" s="57"/>
      <c r="AM239" s="57"/>
      <c r="AP239" s="57"/>
      <c r="AQ239" s="57"/>
      <c r="AR239" s="57"/>
    </row>
    <row r="240" spans="1:44" x14ac:dyDescent="0.2">
      <c r="A240" s="61" t="str">
        <f>IF(Teams&gt;=18, "3", "Hide")</f>
        <v>3</v>
      </c>
      <c r="G240" s="68" t="s">
        <v>50</v>
      </c>
      <c r="H240" s="26" t="s">
        <v>47</v>
      </c>
      <c r="I240" s="243">
        <v>14</v>
      </c>
      <c r="K240" s="366">
        <f>RANK(M240,'Ballot Entry'!$M$215:$M$249,1)</f>
        <v>10</v>
      </c>
      <c r="L240" s="367">
        <f>RANK(N240,'Ballot Entry'!$N$215:$N$249,1)</f>
        <v>10</v>
      </c>
      <c r="M240" s="368">
        <f>IF(ISBLANK('Ballot Entry'!D290),9999,'Ballot Entry'!D290)</f>
        <v>9999</v>
      </c>
      <c r="N240" s="368">
        <f>IF(ISBLANK('Ballot Entry'!F290),9999,'Ballot Entry'!F290)</f>
        <v>9999</v>
      </c>
      <c r="O240" s="367">
        <f>IF('Ballot Entry'!H290="p",'Ballot Entry'!I290,'Ballot Entry'!I290*-1)</f>
        <v>0</v>
      </c>
      <c r="P240" s="367">
        <f>IF('Ballot Entry'!H291="p",'Ballot Entry'!I291,'Ballot Entry'!I291*-1)</f>
        <v>0</v>
      </c>
      <c r="Q240" s="369">
        <f>IF('Ballot Entry'!H292="p",'Ballot Entry'!I292,'Ballot Entry'!I292*-1)</f>
        <v>0</v>
      </c>
      <c r="R240" s="57"/>
      <c r="S240" s="57"/>
      <c r="T240" s="57"/>
      <c r="U240" s="57"/>
      <c r="V240" s="57"/>
      <c r="W240" s="57"/>
      <c r="X240" s="57"/>
      <c r="Y240" s="57"/>
      <c r="Z240" s="57"/>
      <c r="AA240" s="57"/>
      <c r="AB240" s="57"/>
      <c r="AC240" s="57"/>
      <c r="AD240" s="361"/>
      <c r="AE240" s="57"/>
      <c r="AF240" s="57"/>
      <c r="AG240" s="57"/>
      <c r="AH240" s="57"/>
      <c r="AI240" s="57"/>
      <c r="AJ240" s="57"/>
      <c r="AK240" s="57"/>
      <c r="AL240" s="57"/>
      <c r="AM240" s="57"/>
      <c r="AP240" s="57"/>
      <c r="AQ240" s="57"/>
      <c r="AR240" s="57"/>
    </row>
    <row r="241" spans="1:44" ht="13.5" thickBot="1" x14ac:dyDescent="0.25">
      <c r="A241" s="61" t="str">
        <f>IF(Teams&gt;=18, IF(Ballots = 3, "3", "Hide"), "Hide")</f>
        <v>Hide</v>
      </c>
      <c r="B241" s="386"/>
      <c r="C241" s="277"/>
      <c r="D241" s="278"/>
      <c r="E241" s="278"/>
      <c r="F241" s="75"/>
      <c r="G241" s="68" t="s">
        <v>51</v>
      </c>
      <c r="H241" s="27"/>
      <c r="I241" s="244"/>
      <c r="K241" s="366">
        <f>RANK(M241,'Ballot Entry'!$M$215:$M$249,1)</f>
        <v>10</v>
      </c>
      <c r="L241" s="367">
        <f>RANK(N241,'Ballot Entry'!$N$215:$N$249,1)</f>
        <v>10</v>
      </c>
      <c r="M241" s="368">
        <f>IF(ISBLANK('Ballot Entry'!D293),9999,'Ballot Entry'!D293)</f>
        <v>9999</v>
      </c>
      <c r="N241" s="368">
        <f>IF(ISBLANK('Ballot Entry'!F293),9999,'Ballot Entry'!F293)</f>
        <v>9999</v>
      </c>
      <c r="O241" s="367">
        <f>IF('Ballot Entry'!H293="p",'Ballot Entry'!I293,'Ballot Entry'!I293*-1)</f>
        <v>0</v>
      </c>
      <c r="P241" s="367">
        <f>IF('Ballot Entry'!H294="p",'Ballot Entry'!I294,'Ballot Entry'!I294*-1)</f>
        <v>0</v>
      </c>
      <c r="Q241" s="369">
        <f>IF('Ballot Entry'!H295="p",'Ballot Entry'!I295,'Ballot Entry'!I295*-1)</f>
        <v>0</v>
      </c>
      <c r="R241" s="57"/>
      <c r="S241" s="57"/>
      <c r="T241" s="57"/>
      <c r="U241" s="57"/>
      <c r="V241" s="57"/>
      <c r="W241" s="57"/>
      <c r="X241" s="57"/>
      <c r="Y241" s="57"/>
      <c r="Z241" s="57"/>
      <c r="AA241" s="57"/>
      <c r="AB241" s="57"/>
      <c r="AC241" s="57"/>
      <c r="AD241" s="361"/>
      <c r="AE241" s="57"/>
      <c r="AF241" s="57"/>
      <c r="AG241" s="57"/>
      <c r="AH241" s="57"/>
      <c r="AI241" s="57"/>
      <c r="AJ241" s="57"/>
      <c r="AK241" s="57"/>
      <c r="AL241" s="57"/>
      <c r="AM241" s="57"/>
      <c r="AP241" s="57"/>
      <c r="AQ241" s="57"/>
      <c r="AR241" s="57"/>
    </row>
    <row r="242" spans="1:44" ht="15" thickTop="1" x14ac:dyDescent="0.3">
      <c r="A242" s="62" t="str">
        <f>IF(Teams&gt;=20, "3", "Hide")</f>
        <v>Hide</v>
      </c>
      <c r="B242" s="387">
        <f>B136</f>
        <v>0</v>
      </c>
      <c r="C242" s="279" t="s">
        <v>220</v>
      </c>
      <c r="D242" s="280"/>
      <c r="E242" s="279" t="s">
        <v>221</v>
      </c>
      <c r="F242" s="76"/>
      <c r="G242" s="69" t="s">
        <v>49</v>
      </c>
      <c r="H242" s="28"/>
      <c r="I242" s="245"/>
      <c r="K242" s="366">
        <f>RANK(M242,'Ballot Entry'!$M$215:$M$249,1)</f>
        <v>10</v>
      </c>
      <c r="L242" s="367">
        <f>RANK(N242,'Ballot Entry'!$N$215:$N$249,1)</f>
        <v>10</v>
      </c>
      <c r="M242" s="368">
        <f>IF(ISBLANK('Ballot Entry'!D296),9999,'Ballot Entry'!D296)</f>
        <v>9999</v>
      </c>
      <c r="N242" s="368">
        <f>IF(ISBLANK('Ballot Entry'!F296),9999,'Ballot Entry'!F296)</f>
        <v>9999</v>
      </c>
      <c r="O242" s="367">
        <f>IF('Ballot Entry'!H296="p",'Ballot Entry'!I296,'Ballot Entry'!I296*-1)</f>
        <v>0</v>
      </c>
      <c r="P242" s="367">
        <f>IF('Ballot Entry'!H297="p",'Ballot Entry'!I297,'Ballot Entry'!I297*-1)</f>
        <v>0</v>
      </c>
      <c r="Q242" s="369">
        <f>IF('Ballot Entry'!H298="p",'Ballot Entry'!I298,'Ballot Entry'!I298*-1)</f>
        <v>0</v>
      </c>
      <c r="R242" s="57"/>
      <c r="S242" s="57"/>
      <c r="T242" s="57"/>
      <c r="U242" s="57"/>
      <c r="V242" s="57"/>
      <c r="W242" s="57"/>
      <c r="X242" s="57"/>
      <c r="Y242" s="57"/>
      <c r="Z242" s="57"/>
      <c r="AA242" s="57"/>
      <c r="AB242" s="57"/>
      <c r="AC242" s="57"/>
      <c r="AD242" s="361"/>
      <c r="AE242" s="57"/>
      <c r="AF242" s="57"/>
      <c r="AG242" s="57"/>
      <c r="AH242" s="57"/>
      <c r="AI242" s="57"/>
      <c r="AJ242" s="57"/>
      <c r="AK242" s="57"/>
      <c r="AL242" s="57"/>
      <c r="AM242" s="57"/>
      <c r="AP242" s="57"/>
      <c r="AQ242" s="57"/>
      <c r="AR242" s="57"/>
    </row>
    <row r="243" spans="1:44" x14ac:dyDescent="0.2">
      <c r="A243" s="63" t="str">
        <f>IF(Teams&gt;=20, "3", "Hide")</f>
        <v>Hide</v>
      </c>
      <c r="B243" s="386"/>
      <c r="G243" s="68" t="s">
        <v>50</v>
      </c>
      <c r="H243" s="29"/>
      <c r="I243" s="246"/>
      <c r="K243" s="366">
        <f>RANK(M243,'Ballot Entry'!$M$215:$M$249,1)</f>
        <v>10</v>
      </c>
      <c r="L243" s="367">
        <f>RANK(N243,'Ballot Entry'!$N$215:$N$249,1)</f>
        <v>10</v>
      </c>
      <c r="M243" s="368">
        <f>IF(ISBLANK('Ballot Entry'!D299),9999,'Ballot Entry'!D299)</f>
        <v>9999</v>
      </c>
      <c r="N243" s="368">
        <f>IF(ISBLANK('Ballot Entry'!F299),9999,'Ballot Entry'!F299)</f>
        <v>9999</v>
      </c>
      <c r="O243" s="367">
        <f>IF('Ballot Entry'!H299="p",'Ballot Entry'!I299,'Ballot Entry'!I299*-1)</f>
        <v>0</v>
      </c>
      <c r="P243" s="367">
        <f>IF('Ballot Entry'!H300="p",'Ballot Entry'!I300,'Ballot Entry'!I300*-1)</f>
        <v>0</v>
      </c>
      <c r="Q243" s="369">
        <f>IF('Ballot Entry'!H301="p",'Ballot Entry'!I301,'Ballot Entry'!I301*-1)</f>
        <v>0</v>
      </c>
      <c r="R243" s="57"/>
      <c r="S243" s="57"/>
      <c r="T243" s="57"/>
      <c r="U243" s="57"/>
      <c r="V243" s="57"/>
      <c r="W243" s="57"/>
      <c r="X243" s="57"/>
      <c r="Y243" s="57"/>
      <c r="Z243" s="57"/>
      <c r="AA243" s="57"/>
      <c r="AB243" s="57"/>
      <c r="AC243" s="57"/>
      <c r="AD243" s="361"/>
      <c r="AE243" s="57"/>
      <c r="AF243" s="57"/>
      <c r="AG243" s="57"/>
      <c r="AH243" s="57"/>
      <c r="AI243" s="57"/>
      <c r="AJ243" s="57"/>
      <c r="AK243" s="57"/>
      <c r="AL243" s="57"/>
      <c r="AM243" s="57"/>
      <c r="AP243" s="57"/>
      <c r="AQ243" s="57"/>
      <c r="AR243" s="57"/>
    </row>
    <row r="244" spans="1:44" ht="13.5" thickBot="1" x14ac:dyDescent="0.25">
      <c r="A244" s="64" t="str">
        <f>IF(Teams&gt;=20, IF(Ballots = 3, "3", "Hide"), "Hide")</f>
        <v>Hide</v>
      </c>
      <c r="B244" s="388"/>
      <c r="C244" s="281"/>
      <c r="D244" s="282"/>
      <c r="E244" s="282"/>
      <c r="F244" s="77"/>
      <c r="G244" s="70" t="s">
        <v>51</v>
      </c>
      <c r="H244" s="30"/>
      <c r="I244" s="247"/>
      <c r="K244" s="366">
        <f>RANK(M244,'Ballot Entry'!$M$215:$M$249,1)</f>
        <v>10</v>
      </c>
      <c r="L244" s="367">
        <f>RANK(N244,'Ballot Entry'!$N$215:$N$249,1)</f>
        <v>10</v>
      </c>
      <c r="M244" s="368">
        <f>IF(ISBLANK('Ballot Entry'!D302),9999,'Ballot Entry'!D302)</f>
        <v>9999</v>
      </c>
      <c r="N244" s="368">
        <f>IF(ISBLANK('Ballot Entry'!F302),9999,'Ballot Entry'!F302)</f>
        <v>9999</v>
      </c>
      <c r="O244" s="367">
        <f>IF('Ballot Entry'!H302="p",'Ballot Entry'!I302,'Ballot Entry'!I302*-1)</f>
        <v>0</v>
      </c>
      <c r="P244" s="367">
        <f>IF('Ballot Entry'!H303="p",'Ballot Entry'!I303,'Ballot Entry'!I303*-1)</f>
        <v>0</v>
      </c>
      <c r="Q244" s="369">
        <f>IF('Ballot Entry'!H304="p",'Ballot Entry'!I304,'Ballot Entry'!I304*-1)</f>
        <v>0</v>
      </c>
      <c r="R244" s="57"/>
      <c r="S244" s="57"/>
      <c r="T244" s="57"/>
      <c r="U244" s="57"/>
      <c r="V244" s="57"/>
      <c r="W244" s="57"/>
      <c r="X244" s="57"/>
      <c r="Y244" s="57"/>
      <c r="Z244" s="57"/>
      <c r="AA244" s="57"/>
      <c r="AB244" s="57"/>
      <c r="AC244" s="57"/>
      <c r="AD244" s="361"/>
      <c r="AE244" s="57"/>
      <c r="AF244" s="57"/>
      <c r="AG244" s="57"/>
      <c r="AH244" s="57"/>
      <c r="AI244" s="57"/>
      <c r="AJ244" s="57"/>
      <c r="AK244" s="57"/>
      <c r="AL244" s="57"/>
      <c r="AM244" s="57"/>
      <c r="AP244" s="57"/>
      <c r="AQ244" s="57"/>
      <c r="AR244" s="57"/>
    </row>
    <row r="245" spans="1:44" ht="15" thickTop="1" x14ac:dyDescent="0.3">
      <c r="A245" s="60" t="str">
        <f>IF(Teams&gt;=22, "3", "Hide")</f>
        <v>Hide</v>
      </c>
      <c r="B245" s="384">
        <f>B139</f>
        <v>0</v>
      </c>
      <c r="C245" s="276" t="s">
        <v>220</v>
      </c>
      <c r="D245" s="384"/>
      <c r="E245" s="276" t="s">
        <v>221</v>
      </c>
      <c r="F245" s="74"/>
      <c r="G245" s="67" t="s">
        <v>49</v>
      </c>
      <c r="H245" s="25"/>
      <c r="I245" s="242"/>
      <c r="K245" s="366">
        <f>RANK(M245,'Ballot Entry'!$M$215:$M$249,1)</f>
        <v>10</v>
      </c>
      <c r="L245" s="367">
        <f>RANK(N245,'Ballot Entry'!$N$215:$N$249,1)</f>
        <v>10</v>
      </c>
      <c r="M245" s="368">
        <f>IF(ISBLANK('Ballot Entry'!D305),9999,'Ballot Entry'!D305)</f>
        <v>9999</v>
      </c>
      <c r="N245" s="368">
        <f>IF(ISBLANK('Ballot Entry'!F305),9999,'Ballot Entry'!F305)</f>
        <v>9999</v>
      </c>
      <c r="O245" s="367">
        <f>IF('Ballot Entry'!H305="p",'Ballot Entry'!I305,'Ballot Entry'!I305*-1)</f>
        <v>0</v>
      </c>
      <c r="P245" s="367">
        <f>IF('Ballot Entry'!H306="p",'Ballot Entry'!I306,'Ballot Entry'!I306*-1)</f>
        <v>0</v>
      </c>
      <c r="Q245" s="369">
        <f>IF('Ballot Entry'!H307="p",'Ballot Entry'!I307,'Ballot Entry'!I307*-1)</f>
        <v>0</v>
      </c>
      <c r="R245" s="57"/>
      <c r="S245" s="57"/>
      <c r="T245" s="57"/>
      <c r="U245" s="57"/>
      <c r="V245" s="57"/>
      <c r="W245" s="57"/>
      <c r="X245" s="57"/>
      <c r="Y245" s="57"/>
      <c r="Z245" s="57"/>
      <c r="AA245" s="57"/>
      <c r="AB245" s="57"/>
      <c r="AC245" s="57"/>
      <c r="AD245" s="361"/>
      <c r="AE245" s="57"/>
      <c r="AF245" s="57"/>
      <c r="AG245" s="57"/>
      <c r="AH245" s="57"/>
      <c r="AI245" s="57"/>
      <c r="AJ245" s="57"/>
      <c r="AK245" s="57"/>
      <c r="AL245" s="57"/>
      <c r="AM245" s="57"/>
      <c r="AP245" s="57"/>
      <c r="AQ245" s="57"/>
      <c r="AR245" s="57"/>
    </row>
    <row r="246" spans="1:44" x14ac:dyDescent="0.2">
      <c r="A246" s="61" t="str">
        <f>IF(Teams&gt;=22, "3", "Hide")</f>
        <v>Hide</v>
      </c>
      <c r="G246" s="68" t="s">
        <v>50</v>
      </c>
      <c r="H246" s="26"/>
      <c r="I246" s="243"/>
      <c r="K246" s="366">
        <f>RANK(M246,'Ballot Entry'!$M$215:$M$249,1)</f>
        <v>10</v>
      </c>
      <c r="L246" s="367">
        <f>RANK(N246,'Ballot Entry'!$N$215:$N$249,1)</f>
        <v>10</v>
      </c>
      <c r="M246" s="368">
        <f>IF(ISBLANK('Ballot Entry'!D308),9999,'Ballot Entry'!D308)</f>
        <v>9999</v>
      </c>
      <c r="N246" s="368">
        <f>IF(ISBLANK('Ballot Entry'!F308),9999,'Ballot Entry'!F308)</f>
        <v>9999</v>
      </c>
      <c r="O246" s="367">
        <f>IF('Ballot Entry'!H308="p",'Ballot Entry'!I308,'Ballot Entry'!I308*-1)</f>
        <v>0</v>
      </c>
      <c r="P246" s="367">
        <f>IF('Ballot Entry'!H309="p",'Ballot Entry'!I309,'Ballot Entry'!I309*-1)</f>
        <v>0</v>
      </c>
      <c r="Q246" s="369">
        <f>IF('Ballot Entry'!H310="p",'Ballot Entry'!I310,'Ballot Entry'!I310*-1)</f>
        <v>0</v>
      </c>
      <c r="R246" s="57"/>
      <c r="S246" s="57"/>
      <c r="T246" s="57"/>
      <c r="U246" s="57"/>
      <c r="V246" s="57"/>
      <c r="W246" s="57"/>
      <c r="X246" s="57"/>
      <c r="Y246" s="57"/>
      <c r="Z246" s="57"/>
      <c r="AA246" s="57"/>
      <c r="AB246" s="57"/>
      <c r="AC246" s="57"/>
      <c r="AD246" s="361"/>
      <c r="AE246" s="57"/>
      <c r="AF246" s="57"/>
      <c r="AG246" s="57"/>
      <c r="AH246" s="57"/>
      <c r="AI246" s="57"/>
      <c r="AJ246" s="57"/>
      <c r="AK246" s="57"/>
      <c r="AL246" s="57"/>
      <c r="AM246" s="57"/>
      <c r="AP246" s="57"/>
      <c r="AQ246" s="57"/>
      <c r="AR246" s="57"/>
    </row>
    <row r="247" spans="1:44" ht="13.5" thickBot="1" x14ac:dyDescent="0.25">
      <c r="A247" s="61" t="str">
        <f>IF(Teams&gt;=22, IF(Ballots = 3, "3", "Hide"), "Hide")</f>
        <v>Hide</v>
      </c>
      <c r="B247" s="386"/>
      <c r="C247" s="277"/>
      <c r="D247" s="278"/>
      <c r="E247" s="278"/>
      <c r="F247" s="75"/>
      <c r="G247" s="68" t="s">
        <v>51</v>
      </c>
      <c r="H247" s="27"/>
      <c r="I247" s="244"/>
      <c r="K247" s="366">
        <f>RANK(M247,'Ballot Entry'!$M$215:$M$249,1)</f>
        <v>10</v>
      </c>
      <c r="L247" s="367">
        <f>RANK(N247,'Ballot Entry'!$N$215:$N$249,1)</f>
        <v>10</v>
      </c>
      <c r="M247" s="368">
        <f>IF(ISBLANK('Ballot Entry'!D311),9999,'Ballot Entry'!D311)</f>
        <v>9999</v>
      </c>
      <c r="N247" s="368">
        <f>IF(ISBLANK('Ballot Entry'!F311),9999,'Ballot Entry'!F311)</f>
        <v>9999</v>
      </c>
      <c r="O247" s="367">
        <f>IF('Ballot Entry'!H311="p",'Ballot Entry'!I311,'Ballot Entry'!I311*-1)</f>
        <v>0</v>
      </c>
      <c r="P247" s="367">
        <f>IF('Ballot Entry'!H312="p",'Ballot Entry'!I312,'Ballot Entry'!I312*-1)</f>
        <v>0</v>
      </c>
      <c r="Q247" s="369">
        <f>IF('Ballot Entry'!H313="p",'Ballot Entry'!I313,'Ballot Entry'!I313*-1)</f>
        <v>0</v>
      </c>
      <c r="R247" s="57"/>
      <c r="S247" s="57"/>
      <c r="T247" s="57"/>
      <c r="U247" s="57"/>
      <c r="V247" s="57"/>
      <c r="W247" s="57"/>
      <c r="X247" s="57"/>
      <c r="Y247" s="57"/>
      <c r="Z247" s="57"/>
      <c r="AA247" s="57"/>
      <c r="AB247" s="57"/>
      <c r="AC247" s="57"/>
      <c r="AD247" s="361"/>
      <c r="AE247" s="57"/>
      <c r="AF247" s="57"/>
      <c r="AG247" s="57"/>
      <c r="AH247" s="57"/>
      <c r="AI247" s="57"/>
      <c r="AJ247" s="57"/>
      <c r="AK247" s="57"/>
      <c r="AL247" s="57"/>
      <c r="AM247" s="57"/>
      <c r="AP247" s="57"/>
      <c r="AQ247" s="57"/>
      <c r="AR247" s="57"/>
    </row>
    <row r="248" spans="1:44" ht="15" thickTop="1" x14ac:dyDescent="0.3">
      <c r="A248" s="62" t="str">
        <f>IF(Teams&gt;=24, "3", "Hide")</f>
        <v>Hide</v>
      </c>
      <c r="B248" s="387">
        <f>B142</f>
        <v>0</v>
      </c>
      <c r="C248" s="279" t="s">
        <v>220</v>
      </c>
      <c r="D248" s="280"/>
      <c r="E248" s="279" t="s">
        <v>221</v>
      </c>
      <c r="F248" s="76"/>
      <c r="G248" s="69" t="s">
        <v>49</v>
      </c>
      <c r="H248" s="28"/>
      <c r="I248" s="245"/>
      <c r="K248" s="366">
        <f>RANK(M248,'Ballot Entry'!$M$215:$M$249,1)</f>
        <v>10</v>
      </c>
      <c r="L248" s="367">
        <f>RANK(N248,'Ballot Entry'!$N$215:$N$249,1)</f>
        <v>10</v>
      </c>
      <c r="M248" s="368">
        <f>IF(ISBLANK('Ballot Entry'!D314),9999,'Ballot Entry'!D314)</f>
        <v>9999</v>
      </c>
      <c r="N248" s="368">
        <f>IF(ISBLANK('Ballot Entry'!F314),9999,'Ballot Entry'!F314)</f>
        <v>9999</v>
      </c>
      <c r="O248" s="367">
        <f>IF('Ballot Entry'!H314="p",'Ballot Entry'!I314,'Ballot Entry'!I314*-1)</f>
        <v>0</v>
      </c>
      <c r="P248" s="367">
        <f>IF('Ballot Entry'!H315="p",'Ballot Entry'!I315,'Ballot Entry'!I315*-1)</f>
        <v>0</v>
      </c>
      <c r="Q248" s="369">
        <f>IF('Ballot Entry'!H316="p",'Ballot Entry'!I316,'Ballot Entry'!I316*-1)</f>
        <v>0</v>
      </c>
      <c r="R248" s="57"/>
      <c r="S248" s="57"/>
      <c r="T248" s="57"/>
      <c r="U248" s="57"/>
      <c r="V248" s="57"/>
      <c r="W248" s="57"/>
      <c r="X248" s="57"/>
      <c r="Y248" s="57"/>
      <c r="Z248" s="57"/>
      <c r="AA248" s="57"/>
      <c r="AB248" s="57"/>
      <c r="AC248" s="57"/>
      <c r="AD248" s="361"/>
      <c r="AE248" s="57"/>
      <c r="AF248" s="57"/>
      <c r="AG248" s="57"/>
      <c r="AH248" s="57"/>
      <c r="AI248" s="57"/>
      <c r="AJ248" s="57"/>
      <c r="AK248" s="57"/>
      <c r="AL248" s="57"/>
      <c r="AM248" s="57"/>
      <c r="AP248" s="57"/>
      <c r="AQ248" s="57"/>
      <c r="AR248" s="57"/>
    </row>
    <row r="249" spans="1:44" x14ac:dyDescent="0.2">
      <c r="A249" s="63" t="str">
        <f>IF(Teams&gt;=24, "3", "Hide")</f>
        <v>Hide</v>
      </c>
      <c r="B249" s="386"/>
      <c r="G249" s="68" t="s">
        <v>50</v>
      </c>
      <c r="H249" s="29"/>
      <c r="I249" s="246"/>
      <c r="K249" s="375">
        <f>RANK(M249,'Ballot Entry'!$M$215:$M$249,1)</f>
        <v>10</v>
      </c>
      <c r="L249" s="376">
        <f>RANK(N249,'Ballot Entry'!$N$215:$N$249,1)</f>
        <v>10</v>
      </c>
      <c r="M249" s="377">
        <f>IF(ISBLANK('Ballot Entry'!D317),9999,'Ballot Entry'!D317)</f>
        <v>9999</v>
      </c>
      <c r="N249" s="377">
        <f>IF(ISBLANK('Ballot Entry'!F317),9999,'Ballot Entry'!F317)</f>
        <v>9999</v>
      </c>
      <c r="O249" s="376">
        <f>IF('Ballot Entry'!H317="p",'Ballot Entry'!I317,'Ballot Entry'!I317*-1)</f>
        <v>0</v>
      </c>
      <c r="P249" s="376">
        <f>IF('Ballot Entry'!H318="p",'Ballot Entry'!I318,'Ballot Entry'!I318*-1)</f>
        <v>0</v>
      </c>
      <c r="Q249" s="381">
        <f>IF('Ballot Entry'!H319="p",'Ballot Entry'!I319,'Ballot Entry'!I319*-1)</f>
        <v>0</v>
      </c>
      <c r="R249" s="57"/>
      <c r="S249" s="57"/>
      <c r="T249" s="57"/>
      <c r="U249" s="57"/>
      <c r="V249" s="57"/>
      <c r="W249" s="57"/>
      <c r="X249" s="57"/>
      <c r="Y249" s="57"/>
      <c r="Z249" s="57"/>
      <c r="AA249" s="57"/>
      <c r="AB249" s="57"/>
      <c r="AC249" s="57"/>
      <c r="AD249" s="361"/>
      <c r="AE249" s="57"/>
      <c r="AF249" s="57"/>
      <c r="AG249" s="57"/>
      <c r="AH249" s="57"/>
      <c r="AI249" s="57"/>
      <c r="AJ249" s="57"/>
      <c r="AK249" s="57"/>
      <c r="AL249" s="57"/>
      <c r="AM249" s="57"/>
      <c r="AP249" s="57"/>
      <c r="AQ249" s="57"/>
      <c r="AR249" s="57"/>
    </row>
    <row r="250" spans="1:44" ht="13.5" thickBot="1" x14ac:dyDescent="0.25">
      <c r="A250" s="64" t="str">
        <f>IF(Teams&gt;=24, IF(Ballots = 3, "3", "Hide"), "Hide")</f>
        <v>Hide</v>
      </c>
      <c r="B250" s="388"/>
      <c r="C250" s="281"/>
      <c r="D250" s="282"/>
      <c r="E250" s="282"/>
      <c r="F250" s="77"/>
      <c r="G250" s="70" t="s">
        <v>51</v>
      </c>
      <c r="H250" s="30"/>
      <c r="I250" s="247"/>
      <c r="K250" s="370">
        <v>1</v>
      </c>
      <c r="L250" s="371">
        <f>MATCH(K250,'Ballot Entry'!$K$215:$K$249,0)</f>
        <v>5</v>
      </c>
      <c r="M250" s="372">
        <f t="shared" ref="M250:M257" si="36">INDEX(Round3,L250,3)</f>
        <v>1001</v>
      </c>
      <c r="N250" s="372">
        <f t="shared" ref="N250:N284" si="37">INDEX(Round3,$L250,4)</f>
        <v>1577</v>
      </c>
      <c r="O250" s="372">
        <f t="shared" ref="O250:O284" si="38">INDEX(Round3,$L250,5)</f>
        <v>0</v>
      </c>
      <c r="P250" s="372">
        <f t="shared" ref="P250:P284" si="39">INDEX(Round3,$L250,6)</f>
        <v>-5</v>
      </c>
      <c r="Q250" s="373">
        <f t="shared" ref="Q250:Q284" si="40">INDEX(Round3,$L250,7)</f>
        <v>0</v>
      </c>
      <c r="R250" s="57"/>
      <c r="S250" s="57"/>
      <c r="T250" s="57"/>
      <c r="U250" s="57"/>
      <c r="V250" s="57"/>
      <c r="W250" s="57"/>
      <c r="X250" s="57"/>
      <c r="Y250" s="57"/>
      <c r="Z250" s="57"/>
      <c r="AA250" s="57"/>
      <c r="AB250" s="57"/>
      <c r="AC250" s="57"/>
      <c r="AD250" s="361"/>
      <c r="AE250" s="57"/>
      <c r="AF250" s="57"/>
      <c r="AG250" s="57"/>
      <c r="AH250" s="57"/>
      <c r="AI250" s="57"/>
      <c r="AJ250" s="57"/>
      <c r="AK250" s="57"/>
      <c r="AL250" s="57"/>
      <c r="AM250" s="57"/>
      <c r="AP250" s="57"/>
      <c r="AQ250" s="57"/>
      <c r="AR250" s="57"/>
    </row>
    <row r="251" spans="1:44" ht="15" thickTop="1" x14ac:dyDescent="0.3">
      <c r="A251" s="60" t="str">
        <f>IF(Teams&gt;=26, "3", "Hide")</f>
        <v>Hide</v>
      </c>
      <c r="B251" s="384">
        <f>B145</f>
        <v>0</v>
      </c>
      <c r="C251" s="276" t="s">
        <v>220</v>
      </c>
      <c r="D251" s="384"/>
      <c r="E251" s="276" t="s">
        <v>221</v>
      </c>
      <c r="F251" s="74"/>
      <c r="G251" s="67" t="s">
        <v>49</v>
      </c>
      <c r="H251" s="25"/>
      <c r="I251" s="242"/>
      <c r="K251" s="366">
        <v>2</v>
      </c>
      <c r="L251" s="367">
        <f>MATCH(K251,'Ballot Entry'!$K$215:$K$249,0)</f>
        <v>3</v>
      </c>
      <c r="M251" s="368">
        <f t="shared" si="36"/>
        <v>1217</v>
      </c>
      <c r="N251" s="368">
        <f t="shared" si="37"/>
        <v>1410</v>
      </c>
      <c r="O251" s="368">
        <f t="shared" si="38"/>
        <v>-5</v>
      </c>
      <c r="P251" s="368">
        <f t="shared" si="39"/>
        <v>0</v>
      </c>
      <c r="Q251" s="374">
        <f t="shared" si="40"/>
        <v>0</v>
      </c>
      <c r="R251" s="57"/>
      <c r="S251" s="57"/>
      <c r="T251" s="57"/>
      <c r="U251" s="57"/>
      <c r="V251" s="57"/>
      <c r="W251" s="57"/>
      <c r="X251" s="57"/>
      <c r="Y251" s="57"/>
      <c r="Z251" s="57"/>
      <c r="AA251" s="57"/>
      <c r="AB251" s="57"/>
      <c r="AC251" s="57"/>
      <c r="AD251" s="361"/>
      <c r="AE251" s="57"/>
      <c r="AF251" s="57"/>
      <c r="AG251" s="57"/>
      <c r="AH251" s="57"/>
      <c r="AI251" s="57"/>
      <c r="AJ251" s="57"/>
      <c r="AK251" s="57"/>
      <c r="AL251" s="57"/>
      <c r="AM251" s="57"/>
      <c r="AP251" s="57"/>
      <c r="AQ251" s="57"/>
      <c r="AR251" s="57"/>
    </row>
    <row r="252" spans="1:44" x14ac:dyDescent="0.2">
      <c r="A252" s="61" t="str">
        <f>IF(Teams&gt;=26, "3", "Hide")</f>
        <v>Hide</v>
      </c>
      <c r="G252" s="68" t="s">
        <v>50</v>
      </c>
      <c r="H252" s="26"/>
      <c r="I252" s="243"/>
      <c r="K252" s="366">
        <v>3</v>
      </c>
      <c r="L252" s="367">
        <f>MATCH(K252,'Ballot Entry'!$K$215:$K$249,0)</f>
        <v>8</v>
      </c>
      <c r="M252" s="368">
        <f t="shared" si="36"/>
        <v>1258</v>
      </c>
      <c r="N252" s="368">
        <f t="shared" si="37"/>
        <v>1557</v>
      </c>
      <c r="O252" s="368">
        <f t="shared" si="38"/>
        <v>-15</v>
      </c>
      <c r="P252" s="368">
        <f t="shared" si="39"/>
        <v>-2</v>
      </c>
      <c r="Q252" s="374">
        <f t="shared" si="40"/>
        <v>0</v>
      </c>
      <c r="R252" s="57"/>
      <c r="S252" s="57"/>
      <c r="T252" s="57"/>
      <c r="U252" s="57"/>
      <c r="V252" s="57"/>
      <c r="W252" s="57"/>
      <c r="X252" s="57"/>
      <c r="Y252" s="57"/>
      <c r="Z252" s="57"/>
      <c r="AA252" s="57"/>
      <c r="AB252" s="57"/>
      <c r="AC252" s="57"/>
      <c r="AD252" s="361"/>
      <c r="AE252" s="57"/>
      <c r="AF252" s="57"/>
      <c r="AG252" s="57"/>
      <c r="AH252" s="57"/>
      <c r="AI252" s="57"/>
      <c r="AJ252" s="57"/>
      <c r="AK252" s="57"/>
      <c r="AL252" s="57"/>
      <c r="AM252" s="57"/>
      <c r="AP252" s="57"/>
      <c r="AQ252" s="57"/>
      <c r="AR252" s="57"/>
    </row>
    <row r="253" spans="1:44" ht="13.5" thickBot="1" x14ac:dyDescent="0.25">
      <c r="A253" s="61" t="str">
        <f>IF(Teams&gt;=26, IF(Ballots = 3, "3", "Hide"), "Hide")</f>
        <v>Hide</v>
      </c>
      <c r="B253" s="386"/>
      <c r="C253" s="277"/>
      <c r="D253" s="278"/>
      <c r="E253" s="278"/>
      <c r="F253" s="75"/>
      <c r="G253" s="68" t="s">
        <v>51</v>
      </c>
      <c r="H253" s="27"/>
      <c r="I253" s="244"/>
      <c r="K253" s="366">
        <v>4</v>
      </c>
      <c r="L253" s="367">
        <f>MATCH(K253,'Ballot Entry'!$K$215:$K$249,0)</f>
        <v>9</v>
      </c>
      <c r="M253" s="368">
        <f t="shared" si="36"/>
        <v>1262</v>
      </c>
      <c r="N253" s="368">
        <f t="shared" si="37"/>
        <v>1029</v>
      </c>
      <c r="O253" s="368">
        <f t="shared" si="38"/>
        <v>-3</v>
      </c>
      <c r="P253" s="368">
        <f t="shared" si="39"/>
        <v>-14</v>
      </c>
      <c r="Q253" s="374">
        <f t="shared" si="40"/>
        <v>0</v>
      </c>
      <c r="R253" s="57"/>
      <c r="S253" s="57"/>
      <c r="T253" s="57"/>
      <c r="U253" s="57"/>
      <c r="V253" s="57"/>
      <c r="W253" s="57"/>
      <c r="X253" s="57"/>
      <c r="Y253" s="57"/>
      <c r="Z253" s="57"/>
      <c r="AA253" s="57"/>
      <c r="AB253" s="57"/>
      <c r="AC253" s="57"/>
      <c r="AD253" s="361"/>
      <c r="AE253" s="57"/>
      <c r="AF253" s="57"/>
      <c r="AG253" s="57"/>
      <c r="AH253" s="57"/>
      <c r="AI253" s="57"/>
      <c r="AJ253" s="57"/>
      <c r="AK253" s="57"/>
      <c r="AL253" s="57"/>
      <c r="AM253" s="57"/>
      <c r="AP253" s="57"/>
      <c r="AQ253" s="57"/>
      <c r="AR253" s="57"/>
    </row>
    <row r="254" spans="1:44" ht="15" thickTop="1" x14ac:dyDescent="0.3">
      <c r="A254" s="62" t="str">
        <f>IF(Teams&gt;=28, "3", "Hide")</f>
        <v>Hide</v>
      </c>
      <c r="B254" s="387">
        <f>B148</f>
        <v>0</v>
      </c>
      <c r="C254" s="279" t="s">
        <v>220</v>
      </c>
      <c r="D254" s="280"/>
      <c r="E254" s="279" t="s">
        <v>221</v>
      </c>
      <c r="F254" s="76"/>
      <c r="G254" s="69" t="s">
        <v>49</v>
      </c>
      <c r="H254" s="28"/>
      <c r="I254" s="245"/>
      <c r="K254" s="366">
        <v>5</v>
      </c>
      <c r="L254" s="367">
        <f>MATCH(K254,'Ballot Entry'!$K$215:$K$249,0)</f>
        <v>1</v>
      </c>
      <c r="M254" s="368">
        <f t="shared" si="36"/>
        <v>1268</v>
      </c>
      <c r="N254" s="368">
        <f t="shared" si="37"/>
        <v>1051</v>
      </c>
      <c r="O254" s="368">
        <f t="shared" si="38"/>
        <v>24</v>
      </c>
      <c r="P254" s="368">
        <f t="shared" si="39"/>
        <v>15</v>
      </c>
      <c r="Q254" s="374">
        <f t="shared" si="40"/>
        <v>0</v>
      </c>
      <c r="R254" s="57"/>
      <c r="S254" s="57"/>
      <c r="T254" s="57"/>
      <c r="U254" s="57"/>
      <c r="V254" s="57"/>
      <c r="W254" s="57"/>
      <c r="X254" s="57"/>
      <c r="Y254" s="57"/>
      <c r="Z254" s="57"/>
      <c r="AA254" s="57"/>
      <c r="AB254" s="57"/>
      <c r="AC254" s="57"/>
      <c r="AD254" s="361"/>
      <c r="AE254" s="57"/>
      <c r="AF254" s="57"/>
      <c r="AG254" s="57"/>
      <c r="AH254" s="57"/>
      <c r="AI254" s="57"/>
      <c r="AJ254" s="57"/>
      <c r="AK254" s="57"/>
      <c r="AL254" s="57"/>
      <c r="AM254" s="57"/>
      <c r="AP254" s="57"/>
      <c r="AQ254" s="57"/>
      <c r="AR254" s="57"/>
    </row>
    <row r="255" spans="1:44" x14ac:dyDescent="0.2">
      <c r="A255" s="63" t="str">
        <f>IF(Teams&gt;=28, "3", "Hide")</f>
        <v>Hide</v>
      </c>
      <c r="B255" s="386"/>
      <c r="G255" s="68" t="s">
        <v>50</v>
      </c>
      <c r="H255" s="29"/>
      <c r="I255" s="246"/>
      <c r="K255" s="366">
        <v>6</v>
      </c>
      <c r="L255" s="367">
        <f>MATCH(K255,'Ballot Entry'!$K$215:$K$249,0)</f>
        <v>4</v>
      </c>
      <c r="M255" s="368">
        <f t="shared" si="36"/>
        <v>1489</v>
      </c>
      <c r="N255" s="368">
        <f t="shared" si="37"/>
        <v>1224</v>
      </c>
      <c r="O255" s="368">
        <f t="shared" si="38"/>
        <v>-6</v>
      </c>
      <c r="P255" s="368">
        <f t="shared" si="39"/>
        <v>-10</v>
      </c>
      <c r="Q255" s="374">
        <f t="shared" si="40"/>
        <v>0</v>
      </c>
      <c r="R255" s="57"/>
      <c r="S255" s="57"/>
      <c r="T255" s="57"/>
      <c r="U255" s="57"/>
      <c r="V255" s="57"/>
      <c r="W255" s="57"/>
      <c r="X255" s="57"/>
      <c r="Y255" s="57"/>
      <c r="Z255" s="57"/>
      <c r="AA255" s="57"/>
      <c r="AB255" s="57"/>
      <c r="AC255" s="57"/>
      <c r="AD255" s="361"/>
      <c r="AE255" s="57"/>
      <c r="AF255" s="57"/>
      <c r="AG255" s="57"/>
      <c r="AH255" s="57"/>
      <c r="AI255" s="57"/>
      <c r="AJ255" s="57"/>
      <c r="AK255" s="57"/>
      <c r="AL255" s="57"/>
      <c r="AM255" s="57"/>
      <c r="AP255" s="57"/>
      <c r="AQ255" s="57"/>
      <c r="AR255" s="57"/>
    </row>
    <row r="256" spans="1:44" ht="13.5" thickBot="1" x14ac:dyDescent="0.25">
      <c r="A256" s="64" t="str">
        <f>IF(Teams&gt;=28, IF(Ballots = 3, "3", "Hide"), "Hide")</f>
        <v>Hide</v>
      </c>
      <c r="B256" s="388"/>
      <c r="C256" s="281"/>
      <c r="D256" s="282"/>
      <c r="E256" s="282"/>
      <c r="F256" s="77"/>
      <c r="G256" s="70" t="s">
        <v>51</v>
      </c>
      <c r="H256" s="30"/>
      <c r="I256" s="247"/>
      <c r="K256" s="366">
        <v>7</v>
      </c>
      <c r="L256" s="367">
        <f>MATCH(K256,'Ballot Entry'!$K$215:$K$249,0)</f>
        <v>6</v>
      </c>
      <c r="M256" s="368">
        <f t="shared" si="36"/>
        <v>1517</v>
      </c>
      <c r="N256" s="368">
        <f t="shared" si="37"/>
        <v>1078</v>
      </c>
      <c r="O256" s="368">
        <f t="shared" si="38"/>
        <v>1</v>
      </c>
      <c r="P256" s="368">
        <f t="shared" si="39"/>
        <v>0</v>
      </c>
      <c r="Q256" s="374">
        <f t="shared" si="40"/>
        <v>0</v>
      </c>
      <c r="R256" s="57"/>
      <c r="S256" s="57"/>
      <c r="T256" s="57"/>
      <c r="U256" s="57"/>
      <c r="V256" s="57"/>
      <c r="W256" s="57"/>
      <c r="X256" s="57"/>
      <c r="Y256" s="57"/>
      <c r="Z256" s="57"/>
      <c r="AA256" s="57"/>
      <c r="AB256" s="57"/>
      <c r="AC256" s="57"/>
      <c r="AD256" s="361"/>
      <c r="AE256" s="57"/>
      <c r="AF256" s="57"/>
      <c r="AG256" s="57"/>
      <c r="AH256" s="57"/>
      <c r="AI256" s="57"/>
      <c r="AJ256" s="57"/>
      <c r="AK256" s="57"/>
      <c r="AL256" s="57"/>
      <c r="AM256" s="57"/>
      <c r="AP256" s="57"/>
      <c r="AQ256" s="57"/>
      <c r="AR256" s="57"/>
    </row>
    <row r="257" spans="1:44" ht="15" thickTop="1" x14ac:dyDescent="0.3">
      <c r="A257" s="60" t="str">
        <f>IF(Teams&gt;=30, "3", "Hide")</f>
        <v>Hide</v>
      </c>
      <c r="B257" s="384">
        <f>B151</f>
        <v>0</v>
      </c>
      <c r="C257" s="276" t="s">
        <v>220</v>
      </c>
      <c r="D257" s="384"/>
      <c r="E257" s="276" t="s">
        <v>221</v>
      </c>
      <c r="F257" s="74"/>
      <c r="G257" s="67" t="s">
        <v>49</v>
      </c>
      <c r="H257" s="25"/>
      <c r="I257" s="242"/>
      <c r="K257" s="366">
        <v>8</v>
      </c>
      <c r="L257" s="367">
        <f>MATCH(K257,'Ballot Entry'!$K$215:$K$249,0)</f>
        <v>7</v>
      </c>
      <c r="M257" s="368">
        <f t="shared" si="36"/>
        <v>1616</v>
      </c>
      <c r="N257" s="368">
        <f t="shared" si="37"/>
        <v>1506</v>
      </c>
      <c r="O257" s="368">
        <f t="shared" si="38"/>
        <v>-10</v>
      </c>
      <c r="P257" s="368">
        <f t="shared" si="39"/>
        <v>11</v>
      </c>
      <c r="Q257" s="374">
        <f t="shared" si="40"/>
        <v>0</v>
      </c>
      <c r="R257" s="57"/>
      <c r="S257" s="57"/>
      <c r="T257" s="57"/>
      <c r="U257" s="57"/>
      <c r="V257" s="57"/>
      <c r="W257" s="57"/>
      <c r="X257" s="57"/>
      <c r="Y257" s="57"/>
      <c r="Z257" s="57"/>
      <c r="AA257" s="57"/>
      <c r="AB257" s="57"/>
      <c r="AC257" s="57"/>
      <c r="AD257" s="361"/>
      <c r="AE257" s="57"/>
      <c r="AF257" s="57"/>
      <c r="AG257" s="57"/>
      <c r="AH257" s="57"/>
      <c r="AI257" s="57"/>
      <c r="AJ257" s="57"/>
      <c r="AK257" s="57"/>
      <c r="AL257" s="57"/>
      <c r="AM257" s="57"/>
      <c r="AP257" s="57"/>
      <c r="AQ257" s="57"/>
      <c r="AR257" s="57"/>
    </row>
    <row r="258" spans="1:44" x14ac:dyDescent="0.2">
      <c r="A258" s="61" t="str">
        <f>IF(Teams&gt;=30, "3", "Hide")</f>
        <v>Hide</v>
      </c>
      <c r="G258" s="68" t="s">
        <v>50</v>
      </c>
      <c r="H258" s="26"/>
      <c r="I258" s="243"/>
      <c r="K258" s="366">
        <v>9</v>
      </c>
      <c r="L258" s="367">
        <f>MATCH(K258,'Ballot Entry'!$K$215:$K$249,0)</f>
        <v>2</v>
      </c>
      <c r="M258" s="368">
        <f t="shared" ref="M258:M263" si="41">INDEX(Round3,L258,3)</f>
        <v>1693</v>
      </c>
      <c r="N258" s="368">
        <f t="shared" si="37"/>
        <v>1492</v>
      </c>
      <c r="O258" s="368">
        <f t="shared" si="38"/>
        <v>-3</v>
      </c>
      <c r="P258" s="368">
        <f t="shared" si="39"/>
        <v>-9</v>
      </c>
      <c r="Q258" s="374">
        <f t="shared" si="40"/>
        <v>0</v>
      </c>
      <c r="R258" s="57"/>
      <c r="S258" s="57"/>
      <c r="T258" s="57"/>
      <c r="U258" s="57"/>
      <c r="V258" s="57"/>
      <c r="W258" s="57"/>
      <c r="X258" s="57"/>
      <c r="Y258" s="57"/>
      <c r="Z258" s="57"/>
      <c r="AA258" s="57"/>
      <c r="AB258" s="57"/>
      <c r="AC258" s="57"/>
      <c r="AD258" s="361"/>
      <c r="AE258" s="57"/>
      <c r="AF258" s="57"/>
      <c r="AG258" s="57"/>
      <c r="AH258" s="57"/>
      <c r="AI258" s="57"/>
      <c r="AJ258" s="57"/>
      <c r="AK258" s="57"/>
      <c r="AL258" s="57"/>
      <c r="AM258" s="57"/>
      <c r="AP258" s="57"/>
      <c r="AQ258" s="57"/>
      <c r="AR258" s="57"/>
    </row>
    <row r="259" spans="1:44" ht="13.5" thickBot="1" x14ac:dyDescent="0.25">
      <c r="A259" s="61" t="str">
        <f>IF(Teams&gt;=30, IF(Ballots = 3, "3", "Hide"), "Hide")</f>
        <v>Hide</v>
      </c>
      <c r="B259" s="386"/>
      <c r="C259" s="277"/>
      <c r="D259" s="278"/>
      <c r="E259" s="278"/>
      <c r="F259" s="75"/>
      <c r="G259" s="68" t="s">
        <v>51</v>
      </c>
      <c r="H259" s="27"/>
      <c r="I259" s="244"/>
      <c r="K259" s="366">
        <v>10</v>
      </c>
      <c r="L259" s="367">
        <f>MATCH(K259,'Ballot Entry'!$K$215:$K$249,0)</f>
        <v>10</v>
      </c>
      <c r="M259" s="368">
        <f t="shared" si="41"/>
        <v>9999</v>
      </c>
      <c r="N259" s="368">
        <f t="shared" si="37"/>
        <v>9999</v>
      </c>
      <c r="O259" s="368">
        <f t="shared" si="38"/>
        <v>0</v>
      </c>
      <c r="P259" s="368">
        <f t="shared" si="39"/>
        <v>0</v>
      </c>
      <c r="Q259" s="374">
        <f t="shared" si="40"/>
        <v>0</v>
      </c>
      <c r="R259" s="57"/>
      <c r="S259" s="57"/>
      <c r="T259" s="57"/>
      <c r="U259" s="57"/>
      <c r="V259" s="57"/>
      <c r="W259" s="57"/>
      <c r="X259" s="57"/>
      <c r="Y259" s="57"/>
      <c r="Z259" s="57"/>
      <c r="AA259" s="57"/>
      <c r="AB259" s="57"/>
      <c r="AC259" s="57"/>
      <c r="AD259" s="361"/>
      <c r="AE259" s="57"/>
      <c r="AF259" s="57"/>
      <c r="AG259" s="57"/>
      <c r="AH259" s="57"/>
      <c r="AI259" s="57"/>
      <c r="AJ259" s="57"/>
      <c r="AK259" s="57"/>
      <c r="AL259" s="57"/>
      <c r="AM259" s="57"/>
      <c r="AP259" s="57"/>
      <c r="AQ259" s="57"/>
      <c r="AR259" s="57"/>
    </row>
    <row r="260" spans="1:44" ht="15" thickTop="1" x14ac:dyDescent="0.3">
      <c r="A260" s="62" t="str">
        <f>IF(Teams&gt;=32, "3", "Hide")</f>
        <v>Hide</v>
      </c>
      <c r="B260" s="387">
        <f>B154</f>
        <v>0</v>
      </c>
      <c r="C260" s="279" t="s">
        <v>220</v>
      </c>
      <c r="D260" s="280"/>
      <c r="E260" s="279" t="s">
        <v>221</v>
      </c>
      <c r="F260" s="76"/>
      <c r="G260" s="69" t="s">
        <v>49</v>
      </c>
      <c r="H260" s="28"/>
      <c r="I260" s="245"/>
      <c r="K260" s="366">
        <v>11</v>
      </c>
      <c r="L260" s="367" t="e">
        <f>MATCH(K260,'Ballot Entry'!$K$215:$K$249,0)</f>
        <v>#N/A</v>
      </c>
      <c r="M260" s="368" t="e">
        <f t="shared" si="41"/>
        <v>#N/A</v>
      </c>
      <c r="N260" s="368" t="e">
        <f t="shared" si="37"/>
        <v>#N/A</v>
      </c>
      <c r="O260" s="368" t="e">
        <f t="shared" si="38"/>
        <v>#N/A</v>
      </c>
      <c r="P260" s="368" t="e">
        <f t="shared" si="39"/>
        <v>#N/A</v>
      </c>
      <c r="Q260" s="374" t="e">
        <f t="shared" si="40"/>
        <v>#N/A</v>
      </c>
      <c r="R260" s="57"/>
      <c r="S260" s="57"/>
      <c r="T260" s="57"/>
      <c r="U260" s="57"/>
      <c r="V260" s="57"/>
      <c r="W260" s="57"/>
      <c r="X260" s="57"/>
      <c r="Y260" s="57"/>
      <c r="Z260" s="57"/>
      <c r="AA260" s="57"/>
      <c r="AB260" s="57"/>
      <c r="AC260" s="57"/>
      <c r="AD260" s="361"/>
      <c r="AE260" s="57"/>
      <c r="AF260" s="57"/>
      <c r="AG260" s="57"/>
      <c r="AH260" s="57"/>
      <c r="AI260" s="57"/>
      <c r="AJ260" s="57"/>
      <c r="AK260" s="57"/>
      <c r="AL260" s="57"/>
      <c r="AM260" s="57"/>
      <c r="AP260" s="57"/>
      <c r="AQ260" s="57"/>
      <c r="AR260" s="57"/>
    </row>
    <row r="261" spans="1:44" x14ac:dyDescent="0.2">
      <c r="A261" s="63" t="str">
        <f>IF(Teams&gt;=32, "3", "Hide")</f>
        <v>Hide</v>
      </c>
      <c r="B261" s="386"/>
      <c r="G261" s="68" t="s">
        <v>50</v>
      </c>
      <c r="H261" s="29"/>
      <c r="I261" s="246"/>
      <c r="K261" s="366">
        <v>12</v>
      </c>
      <c r="L261" s="367" t="e">
        <f>MATCH(K261,'Ballot Entry'!$K$215:$K$249,0)</f>
        <v>#N/A</v>
      </c>
      <c r="M261" s="368" t="e">
        <f t="shared" si="41"/>
        <v>#N/A</v>
      </c>
      <c r="N261" s="368" t="e">
        <f t="shared" si="37"/>
        <v>#N/A</v>
      </c>
      <c r="O261" s="368" t="e">
        <f t="shared" si="38"/>
        <v>#N/A</v>
      </c>
      <c r="P261" s="368" t="e">
        <f t="shared" si="39"/>
        <v>#N/A</v>
      </c>
      <c r="Q261" s="374" t="e">
        <f t="shared" si="40"/>
        <v>#N/A</v>
      </c>
      <c r="R261" s="57"/>
      <c r="S261" s="57"/>
      <c r="U261" s="57"/>
      <c r="V261" s="57"/>
      <c r="W261" s="57"/>
      <c r="X261" s="57"/>
      <c r="Y261" s="57"/>
      <c r="Z261" s="57"/>
      <c r="AA261" s="57"/>
      <c r="AB261" s="57"/>
      <c r="AC261" s="57"/>
      <c r="AD261" s="361"/>
      <c r="AE261" s="57"/>
      <c r="AF261" s="57"/>
      <c r="AG261" s="57"/>
      <c r="AH261" s="57"/>
      <c r="AI261" s="57"/>
      <c r="AJ261" s="57"/>
      <c r="AK261" s="57"/>
      <c r="AL261" s="57"/>
      <c r="AM261" s="57"/>
      <c r="AP261" s="57"/>
      <c r="AQ261" s="57"/>
      <c r="AR261" s="57"/>
    </row>
    <row r="262" spans="1:44" ht="13.5" thickBot="1" x14ac:dyDescent="0.25">
      <c r="A262" s="64" t="str">
        <f>IF(Teams&gt;=32, IF(Ballots = 3, "3", "Hide"), "Hide")</f>
        <v>Hide</v>
      </c>
      <c r="B262" s="388"/>
      <c r="C262" s="281"/>
      <c r="D262" s="282"/>
      <c r="E262" s="282"/>
      <c r="F262" s="77"/>
      <c r="G262" s="70" t="s">
        <v>51</v>
      </c>
      <c r="H262" s="30"/>
      <c r="I262" s="247"/>
      <c r="K262" s="366">
        <v>13</v>
      </c>
      <c r="L262" s="367" t="e">
        <f>MATCH(K262,'Ballot Entry'!$K$215:$K$249,0)</f>
        <v>#N/A</v>
      </c>
      <c r="M262" s="368" t="e">
        <f t="shared" si="41"/>
        <v>#N/A</v>
      </c>
      <c r="N262" s="368" t="e">
        <f t="shared" si="37"/>
        <v>#N/A</v>
      </c>
      <c r="O262" s="368" t="e">
        <f t="shared" si="38"/>
        <v>#N/A</v>
      </c>
      <c r="P262" s="368" t="e">
        <f t="shared" si="39"/>
        <v>#N/A</v>
      </c>
      <c r="Q262" s="374" t="e">
        <f t="shared" si="40"/>
        <v>#N/A</v>
      </c>
      <c r="R262" s="57"/>
      <c r="S262" s="57"/>
      <c r="T262" s="57"/>
      <c r="U262" s="57"/>
      <c r="V262" s="57"/>
      <c r="W262" s="57"/>
      <c r="X262" s="57"/>
      <c r="Y262" s="57"/>
      <c r="Z262" s="57"/>
      <c r="AA262" s="57"/>
      <c r="AB262" s="57"/>
      <c r="AC262" s="57"/>
      <c r="AD262" s="361"/>
      <c r="AE262" s="57"/>
      <c r="AF262" s="57"/>
      <c r="AG262" s="57"/>
      <c r="AH262" s="57"/>
      <c r="AI262" s="57"/>
      <c r="AJ262" s="57"/>
      <c r="AK262" s="57"/>
      <c r="AL262" s="57"/>
      <c r="AM262" s="57"/>
      <c r="AP262" s="57"/>
      <c r="AQ262" s="57"/>
      <c r="AR262" s="57"/>
    </row>
    <row r="263" spans="1:44" ht="15" thickTop="1" x14ac:dyDescent="0.3">
      <c r="A263" s="60" t="str">
        <f>IF(Teams&gt;=34, "3", "Hide")</f>
        <v>Hide</v>
      </c>
      <c r="B263" s="384">
        <f>B157</f>
        <v>0</v>
      </c>
      <c r="C263" s="276" t="s">
        <v>220</v>
      </c>
      <c r="D263" s="384"/>
      <c r="E263" s="276" t="s">
        <v>221</v>
      </c>
      <c r="F263" s="74"/>
      <c r="G263" s="67" t="s">
        <v>49</v>
      </c>
      <c r="H263" s="25"/>
      <c r="I263" s="242"/>
      <c r="K263" s="366">
        <v>14</v>
      </c>
      <c r="L263" s="367" t="e">
        <f>MATCH(K263,'Ballot Entry'!$K$215:$K$249,0)</f>
        <v>#N/A</v>
      </c>
      <c r="M263" s="368" t="e">
        <f t="shared" si="41"/>
        <v>#N/A</v>
      </c>
      <c r="N263" s="368" t="e">
        <f t="shared" si="37"/>
        <v>#N/A</v>
      </c>
      <c r="O263" s="368" t="e">
        <f t="shared" si="38"/>
        <v>#N/A</v>
      </c>
      <c r="P263" s="368" t="e">
        <f t="shared" si="39"/>
        <v>#N/A</v>
      </c>
      <c r="Q263" s="374" t="e">
        <f t="shared" si="40"/>
        <v>#N/A</v>
      </c>
      <c r="R263" s="57"/>
      <c r="S263" s="57"/>
      <c r="T263" s="57"/>
      <c r="U263" s="57"/>
      <c r="V263" s="57"/>
      <c r="W263" s="57"/>
      <c r="X263" s="57"/>
      <c r="Y263" s="57"/>
      <c r="Z263" s="57"/>
      <c r="AA263" s="57"/>
      <c r="AB263" s="57"/>
      <c r="AC263" s="57"/>
      <c r="AD263" s="361"/>
      <c r="AE263" s="57"/>
      <c r="AF263" s="57"/>
      <c r="AG263" s="57"/>
      <c r="AH263" s="57"/>
      <c r="AI263" s="57"/>
      <c r="AJ263" s="57"/>
      <c r="AK263" s="57"/>
      <c r="AL263" s="57"/>
      <c r="AM263" s="57"/>
      <c r="AP263" s="57"/>
      <c r="AQ263" s="57"/>
      <c r="AR263" s="57"/>
    </row>
    <row r="264" spans="1:44" x14ac:dyDescent="0.2">
      <c r="A264" s="61" t="str">
        <f>IF(Teams&gt;=34, "3", "Hide")</f>
        <v>Hide</v>
      </c>
      <c r="G264" s="68" t="s">
        <v>50</v>
      </c>
      <c r="H264" s="26"/>
      <c r="I264" s="243"/>
      <c r="K264" s="366">
        <v>15</v>
      </c>
      <c r="L264" s="367" t="e">
        <f>MATCH(K264,'Ballot Entry'!$K$215:$K$249,0)</f>
        <v>#N/A</v>
      </c>
      <c r="M264" s="368" t="e">
        <f t="shared" ref="M264:M284" si="42">INDEX(Round3,L264,3)</f>
        <v>#N/A</v>
      </c>
      <c r="N264" s="368" t="e">
        <f t="shared" si="37"/>
        <v>#N/A</v>
      </c>
      <c r="O264" s="368" t="e">
        <f t="shared" si="38"/>
        <v>#N/A</v>
      </c>
      <c r="P264" s="368" t="e">
        <f t="shared" si="39"/>
        <v>#N/A</v>
      </c>
      <c r="Q264" s="374" t="e">
        <f t="shared" si="40"/>
        <v>#N/A</v>
      </c>
      <c r="R264" s="57"/>
      <c r="S264" s="57"/>
      <c r="T264" s="57"/>
      <c r="U264" s="57"/>
      <c r="V264" s="57"/>
      <c r="W264" s="57"/>
      <c r="X264" s="57"/>
      <c r="Y264" s="57"/>
      <c r="Z264" s="57"/>
      <c r="AA264" s="57"/>
      <c r="AB264" s="57"/>
      <c r="AC264" s="57"/>
      <c r="AD264" s="361"/>
      <c r="AE264" s="57"/>
      <c r="AF264" s="57"/>
      <c r="AG264" s="57"/>
      <c r="AH264" s="57"/>
      <c r="AI264" s="57"/>
      <c r="AJ264" s="57"/>
      <c r="AK264" s="57"/>
      <c r="AL264" s="57"/>
      <c r="AM264" s="57"/>
      <c r="AP264" s="57"/>
      <c r="AQ264" s="57"/>
      <c r="AR264" s="57"/>
    </row>
    <row r="265" spans="1:44" ht="13.5" thickBot="1" x14ac:dyDescent="0.25">
      <c r="A265" s="61" t="str">
        <f>IF(Teams&gt;=34, IF(Ballots = 3, "3", "Hide"), "Hide")</f>
        <v>Hide</v>
      </c>
      <c r="B265" s="386"/>
      <c r="C265" s="277"/>
      <c r="D265" s="278"/>
      <c r="E265" s="278"/>
      <c r="F265" s="75"/>
      <c r="G265" s="68" t="s">
        <v>51</v>
      </c>
      <c r="H265" s="27"/>
      <c r="I265" s="244"/>
      <c r="K265" s="366">
        <v>16</v>
      </c>
      <c r="L265" s="367" t="e">
        <f>MATCH(K265,'Ballot Entry'!$K$215:$K$249,0)</f>
        <v>#N/A</v>
      </c>
      <c r="M265" s="368" t="e">
        <f t="shared" si="42"/>
        <v>#N/A</v>
      </c>
      <c r="N265" s="368" t="e">
        <f t="shared" si="37"/>
        <v>#N/A</v>
      </c>
      <c r="O265" s="368" t="e">
        <f t="shared" si="38"/>
        <v>#N/A</v>
      </c>
      <c r="P265" s="368" t="e">
        <f t="shared" si="39"/>
        <v>#N/A</v>
      </c>
      <c r="Q265" s="374" t="e">
        <f t="shared" si="40"/>
        <v>#N/A</v>
      </c>
      <c r="R265" s="57"/>
      <c r="S265" s="57"/>
      <c r="T265" s="57"/>
      <c r="U265" s="57"/>
      <c r="V265" s="57"/>
      <c r="W265" s="57"/>
      <c r="X265" s="57"/>
      <c r="Y265" s="57"/>
      <c r="Z265" s="57"/>
      <c r="AA265" s="57"/>
      <c r="AB265" s="57"/>
      <c r="AC265" s="57"/>
      <c r="AD265" s="361"/>
      <c r="AE265" s="57"/>
      <c r="AF265" s="57"/>
      <c r="AG265" s="57"/>
      <c r="AH265" s="57"/>
      <c r="AI265" s="57"/>
      <c r="AJ265" s="57"/>
      <c r="AK265" s="57"/>
      <c r="AL265" s="57"/>
      <c r="AM265" s="57"/>
      <c r="AP265" s="57"/>
      <c r="AQ265" s="57"/>
      <c r="AR265" s="57"/>
    </row>
    <row r="266" spans="1:44" ht="15" thickTop="1" x14ac:dyDescent="0.3">
      <c r="A266" s="62" t="str">
        <f>IF(Teams&gt;=36, "3", "Hide")</f>
        <v>Hide</v>
      </c>
      <c r="B266" s="387">
        <f>B160</f>
        <v>0</v>
      </c>
      <c r="C266" s="279" t="s">
        <v>220</v>
      </c>
      <c r="D266" s="280"/>
      <c r="E266" s="279" t="s">
        <v>221</v>
      </c>
      <c r="F266" s="76"/>
      <c r="G266" s="69" t="s">
        <v>49</v>
      </c>
      <c r="H266" s="28"/>
      <c r="I266" s="245"/>
      <c r="K266" s="366">
        <v>17</v>
      </c>
      <c r="L266" s="367" t="e">
        <f>MATCH(K266,'Ballot Entry'!$K$215:$K$249,0)</f>
        <v>#N/A</v>
      </c>
      <c r="M266" s="368" t="e">
        <f t="shared" si="42"/>
        <v>#N/A</v>
      </c>
      <c r="N266" s="368" t="e">
        <f t="shared" si="37"/>
        <v>#N/A</v>
      </c>
      <c r="O266" s="368" t="e">
        <f t="shared" si="38"/>
        <v>#N/A</v>
      </c>
      <c r="P266" s="368" t="e">
        <f t="shared" si="39"/>
        <v>#N/A</v>
      </c>
      <c r="Q266" s="374" t="e">
        <f t="shared" si="40"/>
        <v>#N/A</v>
      </c>
      <c r="R266" s="57"/>
      <c r="S266" s="57"/>
      <c r="T266" s="57"/>
      <c r="U266" s="57"/>
      <c r="V266" s="57"/>
      <c r="W266" s="57"/>
      <c r="X266" s="57"/>
      <c r="Y266" s="57"/>
      <c r="Z266" s="57"/>
      <c r="AA266" s="57"/>
      <c r="AB266" s="57"/>
      <c r="AC266" s="57"/>
      <c r="AD266" s="361"/>
      <c r="AE266" s="57"/>
      <c r="AF266" s="57"/>
      <c r="AG266" s="57"/>
      <c r="AH266" s="57"/>
      <c r="AI266" s="57"/>
      <c r="AJ266" s="57"/>
      <c r="AK266" s="57"/>
      <c r="AL266" s="57"/>
      <c r="AM266" s="57"/>
      <c r="AP266" s="57"/>
      <c r="AQ266" s="57"/>
      <c r="AR266" s="57"/>
    </row>
    <row r="267" spans="1:44" x14ac:dyDescent="0.2">
      <c r="A267" s="63" t="str">
        <f>IF(Teams&gt;=36, "3", "Hide")</f>
        <v>Hide</v>
      </c>
      <c r="B267" s="386"/>
      <c r="G267" s="68" t="s">
        <v>50</v>
      </c>
      <c r="H267" s="29"/>
      <c r="I267" s="246"/>
      <c r="K267" s="366">
        <v>18</v>
      </c>
      <c r="L267" s="367" t="e">
        <f>MATCH(K267,'Ballot Entry'!$K$215:$K$249,0)</f>
        <v>#N/A</v>
      </c>
      <c r="M267" s="368" t="e">
        <f t="shared" si="42"/>
        <v>#N/A</v>
      </c>
      <c r="N267" s="368" t="e">
        <f t="shared" si="37"/>
        <v>#N/A</v>
      </c>
      <c r="O267" s="368" t="e">
        <f t="shared" si="38"/>
        <v>#N/A</v>
      </c>
      <c r="P267" s="368" t="e">
        <f t="shared" si="39"/>
        <v>#N/A</v>
      </c>
      <c r="Q267" s="374" t="e">
        <f t="shared" si="40"/>
        <v>#N/A</v>
      </c>
      <c r="R267" s="57"/>
      <c r="S267" s="57"/>
      <c r="T267" s="57"/>
      <c r="U267" s="57"/>
      <c r="V267" s="57"/>
      <c r="W267" s="57"/>
      <c r="X267" s="57"/>
      <c r="Y267" s="57"/>
      <c r="Z267" s="57"/>
      <c r="AA267" s="57"/>
      <c r="AB267" s="57"/>
      <c r="AC267" s="57"/>
      <c r="AD267" s="361"/>
      <c r="AE267" s="57"/>
      <c r="AF267" s="57"/>
      <c r="AG267" s="57"/>
      <c r="AH267" s="57"/>
      <c r="AI267" s="57"/>
      <c r="AJ267" s="57"/>
      <c r="AK267" s="57"/>
      <c r="AL267" s="57"/>
      <c r="AM267" s="57"/>
      <c r="AP267" s="57"/>
      <c r="AQ267" s="57"/>
      <c r="AR267" s="57"/>
    </row>
    <row r="268" spans="1:44" ht="13.5" thickBot="1" x14ac:dyDescent="0.25">
      <c r="A268" s="64" t="str">
        <f>IF(Teams&gt;=36, IF(Ballots = 3, "3", "Hide"), "Hide")</f>
        <v>Hide</v>
      </c>
      <c r="B268" s="388"/>
      <c r="C268" s="281"/>
      <c r="D268" s="282"/>
      <c r="E268" s="282"/>
      <c r="F268" s="77"/>
      <c r="G268" s="70" t="s">
        <v>51</v>
      </c>
      <c r="H268" s="30"/>
      <c r="I268" s="247"/>
      <c r="K268" s="366">
        <v>19</v>
      </c>
      <c r="L268" s="367" t="e">
        <f>MATCH(K268,'Ballot Entry'!$K$215:$K$249,0)</f>
        <v>#N/A</v>
      </c>
      <c r="M268" s="368" t="e">
        <f t="shared" si="42"/>
        <v>#N/A</v>
      </c>
      <c r="N268" s="368" t="e">
        <f t="shared" si="37"/>
        <v>#N/A</v>
      </c>
      <c r="O268" s="368" t="e">
        <f t="shared" si="38"/>
        <v>#N/A</v>
      </c>
      <c r="P268" s="368" t="e">
        <f t="shared" si="39"/>
        <v>#N/A</v>
      </c>
      <c r="Q268" s="374" t="e">
        <f t="shared" si="40"/>
        <v>#N/A</v>
      </c>
      <c r="R268" s="57"/>
      <c r="S268" s="57"/>
      <c r="T268" s="57"/>
      <c r="U268" s="57"/>
      <c r="V268" s="57"/>
      <c r="W268" s="57"/>
      <c r="X268" s="57"/>
      <c r="Y268" s="57"/>
      <c r="Z268" s="57"/>
      <c r="AA268" s="57"/>
      <c r="AB268" s="57"/>
      <c r="AC268" s="57"/>
      <c r="AD268" s="361"/>
      <c r="AE268" s="57"/>
      <c r="AF268" s="57"/>
      <c r="AG268" s="57"/>
      <c r="AH268" s="57"/>
      <c r="AI268" s="57"/>
      <c r="AJ268" s="57"/>
      <c r="AK268" s="57"/>
      <c r="AL268" s="57"/>
      <c r="AM268" s="57"/>
      <c r="AP268" s="57"/>
      <c r="AQ268" s="57"/>
      <c r="AR268" s="57"/>
    </row>
    <row r="269" spans="1:44" ht="15" thickTop="1" x14ac:dyDescent="0.3">
      <c r="A269" s="60" t="str">
        <f>IF(Teams&gt;=38, "3", "Hide")</f>
        <v>Hide</v>
      </c>
      <c r="B269" s="384">
        <f>B163</f>
        <v>0</v>
      </c>
      <c r="C269" s="276" t="s">
        <v>220</v>
      </c>
      <c r="D269" s="384"/>
      <c r="E269" s="276" t="s">
        <v>221</v>
      </c>
      <c r="F269" s="74"/>
      <c r="G269" s="67" t="s">
        <v>49</v>
      </c>
      <c r="H269" s="25"/>
      <c r="I269" s="242"/>
      <c r="K269" s="366">
        <v>20</v>
      </c>
      <c r="L269" s="367" t="e">
        <f>MATCH(K269,'Ballot Entry'!$K$215:$K$249,0)</f>
        <v>#N/A</v>
      </c>
      <c r="M269" s="368" t="e">
        <f t="shared" si="42"/>
        <v>#N/A</v>
      </c>
      <c r="N269" s="368" t="e">
        <f t="shared" si="37"/>
        <v>#N/A</v>
      </c>
      <c r="O269" s="368" t="e">
        <f t="shared" si="38"/>
        <v>#N/A</v>
      </c>
      <c r="P269" s="368" t="e">
        <f t="shared" si="39"/>
        <v>#N/A</v>
      </c>
      <c r="Q269" s="374" t="e">
        <f t="shared" si="40"/>
        <v>#N/A</v>
      </c>
      <c r="R269" s="57"/>
      <c r="S269" s="57"/>
      <c r="T269" s="57"/>
      <c r="U269" s="57"/>
      <c r="V269" s="57"/>
      <c r="W269" s="57"/>
      <c r="X269" s="57"/>
      <c r="Y269" s="57"/>
      <c r="Z269" s="57"/>
      <c r="AA269" s="57"/>
      <c r="AB269" s="57"/>
      <c r="AC269" s="57"/>
      <c r="AD269" s="361"/>
      <c r="AE269" s="57"/>
      <c r="AF269" s="57"/>
      <c r="AG269" s="57"/>
      <c r="AH269" s="57"/>
      <c r="AI269" s="57"/>
      <c r="AJ269" s="57"/>
      <c r="AK269" s="57"/>
      <c r="AL269" s="57"/>
      <c r="AM269" s="57"/>
      <c r="AP269" s="57"/>
      <c r="AQ269" s="57"/>
      <c r="AR269" s="57"/>
    </row>
    <row r="270" spans="1:44" x14ac:dyDescent="0.2">
      <c r="A270" s="61" t="str">
        <f>IF(Teams&gt;=38, "3", "Hide")</f>
        <v>Hide</v>
      </c>
      <c r="G270" s="68" t="s">
        <v>50</v>
      </c>
      <c r="H270" s="26"/>
      <c r="I270" s="243"/>
      <c r="K270" s="366">
        <v>21</v>
      </c>
      <c r="L270" s="367" t="e">
        <f>MATCH(K270,'Ballot Entry'!$K$215:$K$249,0)</f>
        <v>#N/A</v>
      </c>
      <c r="M270" s="368" t="e">
        <f t="shared" si="42"/>
        <v>#N/A</v>
      </c>
      <c r="N270" s="368" t="e">
        <f t="shared" si="37"/>
        <v>#N/A</v>
      </c>
      <c r="O270" s="368" t="e">
        <f t="shared" si="38"/>
        <v>#N/A</v>
      </c>
      <c r="P270" s="368" t="e">
        <f t="shared" si="39"/>
        <v>#N/A</v>
      </c>
      <c r="Q270" s="374" t="e">
        <f t="shared" si="40"/>
        <v>#N/A</v>
      </c>
      <c r="R270" s="57"/>
      <c r="S270" s="57"/>
      <c r="T270" s="57"/>
      <c r="U270" s="57"/>
      <c r="V270" s="57"/>
      <c r="W270" s="57"/>
      <c r="X270" s="57"/>
      <c r="Y270" s="57"/>
      <c r="Z270" s="57"/>
      <c r="AA270" s="57"/>
      <c r="AB270" s="57"/>
      <c r="AC270" s="57"/>
      <c r="AD270" s="361"/>
      <c r="AE270" s="57"/>
      <c r="AF270" s="57"/>
      <c r="AG270" s="57"/>
      <c r="AH270" s="57"/>
      <c r="AI270" s="57"/>
      <c r="AJ270" s="57"/>
      <c r="AK270" s="57"/>
      <c r="AL270" s="57"/>
      <c r="AM270" s="57"/>
      <c r="AP270" s="57"/>
      <c r="AQ270" s="57"/>
      <c r="AR270" s="57"/>
    </row>
    <row r="271" spans="1:44" ht="13.5" thickBot="1" x14ac:dyDescent="0.25">
      <c r="A271" s="61" t="str">
        <f>IF(Teams&gt;=38, IF(Ballots = 3, "3", "Hide"), "Hide")</f>
        <v>Hide</v>
      </c>
      <c r="B271" s="386"/>
      <c r="C271" s="277"/>
      <c r="D271" s="278"/>
      <c r="E271" s="278"/>
      <c r="F271" s="75"/>
      <c r="G271" s="68" t="s">
        <v>51</v>
      </c>
      <c r="H271" s="27"/>
      <c r="I271" s="244"/>
      <c r="K271" s="366">
        <v>22</v>
      </c>
      <c r="L271" s="367" t="e">
        <f>MATCH(K271,'Ballot Entry'!$K$215:$K$249,0)</f>
        <v>#N/A</v>
      </c>
      <c r="M271" s="368" t="e">
        <f t="shared" si="42"/>
        <v>#N/A</v>
      </c>
      <c r="N271" s="368" t="e">
        <f t="shared" si="37"/>
        <v>#N/A</v>
      </c>
      <c r="O271" s="368" t="e">
        <f t="shared" si="38"/>
        <v>#N/A</v>
      </c>
      <c r="P271" s="368" t="e">
        <f t="shared" si="39"/>
        <v>#N/A</v>
      </c>
      <c r="Q271" s="374" t="e">
        <f t="shared" si="40"/>
        <v>#N/A</v>
      </c>
      <c r="R271" s="57"/>
      <c r="S271" s="57"/>
      <c r="T271" s="57"/>
      <c r="U271" s="57"/>
      <c r="V271" s="57"/>
      <c r="W271" s="57"/>
      <c r="X271" s="57"/>
      <c r="Y271" s="57"/>
      <c r="Z271" s="57"/>
      <c r="AA271" s="57"/>
      <c r="AB271" s="57"/>
      <c r="AC271" s="57"/>
      <c r="AD271" s="361"/>
      <c r="AE271" s="57"/>
      <c r="AF271" s="57"/>
      <c r="AG271" s="57"/>
      <c r="AH271" s="57"/>
      <c r="AI271" s="57"/>
      <c r="AJ271" s="57"/>
      <c r="AK271" s="57"/>
      <c r="AL271" s="57"/>
      <c r="AM271" s="57"/>
      <c r="AP271" s="57"/>
      <c r="AQ271" s="57"/>
      <c r="AR271" s="57"/>
    </row>
    <row r="272" spans="1:44" ht="15" thickTop="1" x14ac:dyDescent="0.3">
      <c r="A272" s="62" t="str">
        <f>IF(Teams&gt;=40, "3", "Hide")</f>
        <v>Hide</v>
      </c>
      <c r="B272" s="387">
        <f>B166</f>
        <v>0</v>
      </c>
      <c r="C272" s="279" t="s">
        <v>220</v>
      </c>
      <c r="D272" s="280"/>
      <c r="E272" s="279" t="s">
        <v>221</v>
      </c>
      <c r="F272" s="76"/>
      <c r="G272" s="69" t="s">
        <v>49</v>
      </c>
      <c r="H272" s="28"/>
      <c r="I272" s="245"/>
      <c r="K272" s="366">
        <v>23</v>
      </c>
      <c r="L272" s="367" t="e">
        <f>MATCH(K272,'Ballot Entry'!$K$215:$K$249,0)</f>
        <v>#N/A</v>
      </c>
      <c r="M272" s="368" t="e">
        <f t="shared" si="42"/>
        <v>#N/A</v>
      </c>
      <c r="N272" s="368" t="e">
        <f t="shared" si="37"/>
        <v>#N/A</v>
      </c>
      <c r="O272" s="368" t="e">
        <f t="shared" si="38"/>
        <v>#N/A</v>
      </c>
      <c r="P272" s="368" t="e">
        <f t="shared" si="39"/>
        <v>#N/A</v>
      </c>
      <c r="Q272" s="374" t="e">
        <f t="shared" si="40"/>
        <v>#N/A</v>
      </c>
      <c r="R272" s="57"/>
      <c r="S272" s="57"/>
      <c r="T272" s="57"/>
      <c r="U272" s="57"/>
      <c r="V272" s="57"/>
      <c r="W272" s="57"/>
      <c r="X272" s="57"/>
      <c r="Y272" s="57"/>
      <c r="Z272" s="57"/>
      <c r="AA272" s="57"/>
      <c r="AB272" s="57"/>
      <c r="AC272" s="57"/>
      <c r="AD272" s="361"/>
      <c r="AE272" s="57"/>
      <c r="AF272" s="57"/>
      <c r="AG272" s="57"/>
      <c r="AH272" s="57"/>
      <c r="AI272" s="57"/>
      <c r="AJ272" s="57"/>
      <c r="AK272" s="57"/>
      <c r="AL272" s="57"/>
      <c r="AM272" s="57"/>
      <c r="AP272" s="57"/>
      <c r="AQ272" s="57"/>
      <c r="AR272" s="57"/>
    </row>
    <row r="273" spans="1:44" x14ac:dyDescent="0.2">
      <c r="A273" s="63" t="str">
        <f>IF(Teams&gt;=40, "3", "Hide")</f>
        <v>Hide</v>
      </c>
      <c r="B273" s="386"/>
      <c r="G273" s="68" t="s">
        <v>50</v>
      </c>
      <c r="H273" s="29"/>
      <c r="I273" s="246"/>
      <c r="K273" s="366">
        <v>24</v>
      </c>
      <c r="L273" s="367" t="e">
        <f>MATCH(K273,'Ballot Entry'!$K$215:$K$249,0)</f>
        <v>#N/A</v>
      </c>
      <c r="M273" s="368" t="e">
        <f t="shared" si="42"/>
        <v>#N/A</v>
      </c>
      <c r="N273" s="368" t="e">
        <f t="shared" si="37"/>
        <v>#N/A</v>
      </c>
      <c r="O273" s="368" t="e">
        <f t="shared" si="38"/>
        <v>#N/A</v>
      </c>
      <c r="P273" s="368" t="e">
        <f t="shared" si="39"/>
        <v>#N/A</v>
      </c>
      <c r="Q273" s="374" t="e">
        <f t="shared" si="40"/>
        <v>#N/A</v>
      </c>
      <c r="R273" s="57"/>
      <c r="S273" s="57"/>
      <c r="T273" s="57"/>
      <c r="U273" s="57"/>
      <c r="V273" s="57"/>
      <c r="W273" s="57"/>
      <c r="X273" s="57"/>
      <c r="Y273" s="57"/>
      <c r="Z273" s="57"/>
      <c r="AA273" s="57"/>
      <c r="AB273" s="57"/>
      <c r="AC273" s="57"/>
      <c r="AD273" s="361"/>
      <c r="AE273" s="57"/>
      <c r="AF273" s="57"/>
      <c r="AG273" s="57"/>
      <c r="AH273" s="57"/>
      <c r="AI273" s="57"/>
      <c r="AJ273" s="57"/>
      <c r="AK273" s="57"/>
      <c r="AL273" s="57"/>
      <c r="AM273" s="57"/>
      <c r="AP273" s="57"/>
      <c r="AQ273" s="57"/>
      <c r="AR273" s="57"/>
    </row>
    <row r="274" spans="1:44" ht="13.5" thickBot="1" x14ac:dyDescent="0.25">
      <c r="A274" s="64" t="str">
        <f>IF(Teams&gt;=40, IF(Ballots = 3, "3", "Hide"), "Hide")</f>
        <v>Hide</v>
      </c>
      <c r="B274" s="388"/>
      <c r="C274" s="281"/>
      <c r="D274" s="282"/>
      <c r="E274" s="282"/>
      <c r="F274" s="77"/>
      <c r="G274" s="70" t="s">
        <v>51</v>
      </c>
      <c r="H274" s="30"/>
      <c r="I274" s="247"/>
      <c r="K274" s="366">
        <v>25</v>
      </c>
      <c r="L274" s="367" t="e">
        <f>MATCH(K274,'Ballot Entry'!$K$215:$K$249,0)</f>
        <v>#N/A</v>
      </c>
      <c r="M274" s="368" t="e">
        <f t="shared" si="42"/>
        <v>#N/A</v>
      </c>
      <c r="N274" s="368" t="e">
        <f t="shared" si="37"/>
        <v>#N/A</v>
      </c>
      <c r="O274" s="368" t="e">
        <f t="shared" si="38"/>
        <v>#N/A</v>
      </c>
      <c r="P274" s="368" t="e">
        <f t="shared" si="39"/>
        <v>#N/A</v>
      </c>
      <c r="Q274" s="374" t="e">
        <f t="shared" si="40"/>
        <v>#N/A</v>
      </c>
      <c r="R274" s="57"/>
      <c r="S274" s="57"/>
      <c r="T274" s="57"/>
      <c r="U274" s="57"/>
      <c r="V274" s="57"/>
      <c r="W274" s="57"/>
      <c r="X274" s="57"/>
      <c r="Y274" s="57"/>
      <c r="Z274" s="57"/>
      <c r="AA274" s="57"/>
      <c r="AB274" s="57"/>
      <c r="AC274" s="57"/>
      <c r="AD274" s="361"/>
      <c r="AE274" s="57"/>
      <c r="AF274" s="57"/>
      <c r="AG274" s="57"/>
      <c r="AH274" s="57"/>
      <c r="AI274" s="57"/>
      <c r="AJ274" s="57"/>
      <c r="AK274" s="57"/>
      <c r="AL274" s="57"/>
      <c r="AM274" s="57"/>
      <c r="AP274" s="57"/>
      <c r="AQ274" s="57"/>
      <c r="AR274" s="57"/>
    </row>
    <row r="275" spans="1:44" ht="15" thickTop="1" x14ac:dyDescent="0.3">
      <c r="A275" s="60" t="str">
        <f>IF(Teams&gt;=42, "3", "Hide")</f>
        <v>Hide</v>
      </c>
      <c r="B275" s="384">
        <f>B169</f>
        <v>0</v>
      </c>
      <c r="C275" s="276" t="s">
        <v>220</v>
      </c>
      <c r="D275" s="384"/>
      <c r="E275" s="276" t="s">
        <v>221</v>
      </c>
      <c r="F275" s="74"/>
      <c r="G275" s="67" t="s">
        <v>49</v>
      </c>
      <c r="H275" s="25"/>
      <c r="I275" s="242"/>
      <c r="K275" s="366">
        <v>26</v>
      </c>
      <c r="L275" s="367" t="e">
        <f>MATCH(K275,'Ballot Entry'!$K$215:$K$249,0)</f>
        <v>#N/A</v>
      </c>
      <c r="M275" s="368" t="e">
        <f t="shared" si="42"/>
        <v>#N/A</v>
      </c>
      <c r="N275" s="368" t="e">
        <f t="shared" si="37"/>
        <v>#N/A</v>
      </c>
      <c r="O275" s="368" t="e">
        <f t="shared" si="38"/>
        <v>#N/A</v>
      </c>
      <c r="P275" s="368" t="e">
        <f t="shared" si="39"/>
        <v>#N/A</v>
      </c>
      <c r="Q275" s="374" t="e">
        <f t="shared" si="40"/>
        <v>#N/A</v>
      </c>
      <c r="R275" s="57"/>
      <c r="S275" s="57"/>
      <c r="T275" s="57"/>
      <c r="U275" s="57"/>
      <c r="V275" s="57"/>
      <c r="W275" s="57"/>
      <c r="X275" s="57"/>
      <c r="Y275" s="57"/>
      <c r="Z275" s="57"/>
      <c r="AA275" s="57"/>
      <c r="AB275" s="57"/>
      <c r="AC275" s="57"/>
      <c r="AD275" s="361"/>
      <c r="AE275" s="57"/>
      <c r="AF275" s="57"/>
      <c r="AG275" s="57"/>
      <c r="AH275" s="57"/>
      <c r="AI275" s="57"/>
      <c r="AJ275" s="57"/>
      <c r="AK275" s="57"/>
      <c r="AL275" s="57"/>
      <c r="AM275" s="57"/>
      <c r="AP275" s="57"/>
      <c r="AQ275" s="57"/>
      <c r="AR275" s="57"/>
    </row>
    <row r="276" spans="1:44" x14ac:dyDescent="0.2">
      <c r="A276" s="61" t="str">
        <f>IF(Teams&gt;=42, "3", "Hide")</f>
        <v>Hide</v>
      </c>
      <c r="G276" s="68" t="s">
        <v>50</v>
      </c>
      <c r="H276" s="26"/>
      <c r="I276" s="243"/>
      <c r="K276" s="366">
        <v>27</v>
      </c>
      <c r="L276" s="367" t="e">
        <f>MATCH(K276,'Ballot Entry'!$K$215:$K$249,0)</f>
        <v>#N/A</v>
      </c>
      <c r="M276" s="368" t="e">
        <f t="shared" si="42"/>
        <v>#N/A</v>
      </c>
      <c r="N276" s="368" t="e">
        <f t="shared" si="37"/>
        <v>#N/A</v>
      </c>
      <c r="O276" s="368" t="e">
        <f t="shared" si="38"/>
        <v>#N/A</v>
      </c>
      <c r="P276" s="368" t="e">
        <f t="shared" si="39"/>
        <v>#N/A</v>
      </c>
      <c r="Q276" s="374" t="e">
        <f t="shared" si="40"/>
        <v>#N/A</v>
      </c>
      <c r="R276" s="57"/>
      <c r="S276" s="57"/>
      <c r="T276" s="57"/>
      <c r="U276" s="57"/>
      <c r="V276" s="57"/>
      <c r="W276" s="57"/>
      <c r="X276" s="57"/>
      <c r="Y276" s="57"/>
      <c r="Z276" s="57"/>
      <c r="AA276" s="57"/>
      <c r="AB276" s="57"/>
      <c r="AC276" s="57"/>
      <c r="AD276" s="361"/>
      <c r="AE276" s="57"/>
      <c r="AF276" s="57"/>
      <c r="AG276" s="57"/>
      <c r="AH276" s="57"/>
      <c r="AI276" s="57"/>
      <c r="AJ276" s="57"/>
      <c r="AK276" s="57"/>
      <c r="AL276" s="57"/>
      <c r="AM276" s="57"/>
      <c r="AP276" s="57"/>
      <c r="AQ276" s="57"/>
      <c r="AR276" s="57"/>
    </row>
    <row r="277" spans="1:44" ht="13.5" thickBot="1" x14ac:dyDescent="0.25">
      <c r="A277" s="61" t="str">
        <f>IF(Teams&gt;=42, IF(Ballots = 3, "3", "Hide"), "Hide")</f>
        <v>Hide</v>
      </c>
      <c r="B277" s="386"/>
      <c r="C277" s="277"/>
      <c r="D277" s="278"/>
      <c r="E277" s="278"/>
      <c r="F277" s="75"/>
      <c r="G277" s="68" t="s">
        <v>51</v>
      </c>
      <c r="H277" s="27"/>
      <c r="I277" s="244"/>
      <c r="K277" s="366">
        <v>28</v>
      </c>
      <c r="L277" s="367" t="e">
        <f>MATCH(K277,'Ballot Entry'!$K$215:$K$249,0)</f>
        <v>#N/A</v>
      </c>
      <c r="M277" s="368" t="e">
        <f t="shared" si="42"/>
        <v>#N/A</v>
      </c>
      <c r="N277" s="368" t="e">
        <f t="shared" si="37"/>
        <v>#N/A</v>
      </c>
      <c r="O277" s="368" t="e">
        <f t="shared" si="38"/>
        <v>#N/A</v>
      </c>
      <c r="P277" s="368" t="e">
        <f t="shared" si="39"/>
        <v>#N/A</v>
      </c>
      <c r="Q277" s="374" t="e">
        <f t="shared" si="40"/>
        <v>#N/A</v>
      </c>
      <c r="R277" s="57"/>
      <c r="S277" s="57"/>
      <c r="T277" s="57"/>
      <c r="U277" s="57"/>
      <c r="V277" s="57"/>
      <c r="W277" s="57"/>
      <c r="X277" s="57"/>
      <c r="Y277" s="57"/>
      <c r="Z277" s="57"/>
      <c r="AA277" s="57"/>
      <c r="AB277" s="57"/>
      <c r="AC277" s="57"/>
      <c r="AD277" s="361"/>
      <c r="AE277" s="57"/>
      <c r="AF277" s="57"/>
      <c r="AG277" s="57"/>
      <c r="AH277" s="57"/>
      <c r="AI277" s="57"/>
      <c r="AJ277" s="57"/>
      <c r="AK277" s="57"/>
      <c r="AL277" s="57"/>
      <c r="AM277" s="57"/>
      <c r="AP277" s="57"/>
      <c r="AQ277" s="57"/>
      <c r="AR277" s="57"/>
    </row>
    <row r="278" spans="1:44" ht="15" thickTop="1" x14ac:dyDescent="0.3">
      <c r="A278" s="62" t="str">
        <f>IF(Teams&gt;=44, "3", "Hide")</f>
        <v>Hide</v>
      </c>
      <c r="B278" s="387">
        <f>B172</f>
        <v>0</v>
      </c>
      <c r="C278" s="279" t="s">
        <v>220</v>
      </c>
      <c r="D278" s="280"/>
      <c r="E278" s="279" t="s">
        <v>221</v>
      </c>
      <c r="F278" s="76"/>
      <c r="G278" s="69" t="s">
        <v>49</v>
      </c>
      <c r="H278" s="28"/>
      <c r="I278" s="245"/>
      <c r="K278" s="366">
        <v>29</v>
      </c>
      <c r="L278" s="367" t="e">
        <f>MATCH(K278,'Ballot Entry'!$K$215:$K$249,0)</f>
        <v>#N/A</v>
      </c>
      <c r="M278" s="368" t="e">
        <f t="shared" si="42"/>
        <v>#N/A</v>
      </c>
      <c r="N278" s="368" t="e">
        <f t="shared" si="37"/>
        <v>#N/A</v>
      </c>
      <c r="O278" s="368" t="e">
        <f t="shared" si="38"/>
        <v>#N/A</v>
      </c>
      <c r="P278" s="368" t="e">
        <f t="shared" si="39"/>
        <v>#N/A</v>
      </c>
      <c r="Q278" s="374" t="e">
        <f t="shared" si="40"/>
        <v>#N/A</v>
      </c>
      <c r="R278" s="57"/>
      <c r="S278" s="57"/>
      <c r="T278" s="57"/>
      <c r="U278" s="57"/>
      <c r="V278" s="57"/>
      <c r="W278" s="57"/>
      <c r="X278" s="57"/>
      <c r="Y278" s="57"/>
      <c r="Z278" s="57"/>
      <c r="AA278" s="57"/>
      <c r="AB278" s="57"/>
      <c r="AC278" s="57"/>
      <c r="AD278" s="361"/>
      <c r="AE278" s="57"/>
      <c r="AF278" s="57"/>
      <c r="AG278" s="57"/>
      <c r="AH278" s="57"/>
      <c r="AI278" s="57"/>
      <c r="AJ278" s="57"/>
      <c r="AK278" s="57"/>
      <c r="AL278" s="57"/>
      <c r="AM278" s="57"/>
      <c r="AP278" s="57"/>
      <c r="AQ278" s="57"/>
      <c r="AR278" s="57"/>
    </row>
    <row r="279" spans="1:44" x14ac:dyDescent="0.2">
      <c r="A279" s="63" t="str">
        <f>IF(Teams&gt;=44, "3", "Hide")</f>
        <v>Hide</v>
      </c>
      <c r="B279" s="386"/>
      <c r="G279" s="68" t="s">
        <v>50</v>
      </c>
      <c r="H279" s="29"/>
      <c r="I279" s="246"/>
      <c r="K279" s="366">
        <v>30</v>
      </c>
      <c r="L279" s="367" t="e">
        <f>MATCH(K279,'Ballot Entry'!$K$215:$K$249,0)</f>
        <v>#N/A</v>
      </c>
      <c r="M279" s="368" t="e">
        <f t="shared" si="42"/>
        <v>#N/A</v>
      </c>
      <c r="N279" s="368" t="e">
        <f t="shared" si="37"/>
        <v>#N/A</v>
      </c>
      <c r="O279" s="368" t="e">
        <f t="shared" si="38"/>
        <v>#N/A</v>
      </c>
      <c r="P279" s="368" t="e">
        <f t="shared" si="39"/>
        <v>#N/A</v>
      </c>
      <c r="Q279" s="374" t="e">
        <f t="shared" si="40"/>
        <v>#N/A</v>
      </c>
      <c r="R279" s="57"/>
      <c r="S279" s="57"/>
      <c r="T279" s="57"/>
      <c r="U279" s="57"/>
      <c r="V279" s="57"/>
      <c r="W279" s="57"/>
      <c r="X279" s="57"/>
      <c r="Y279" s="57"/>
      <c r="Z279" s="57"/>
      <c r="AA279" s="57"/>
      <c r="AB279" s="57"/>
      <c r="AC279" s="57"/>
      <c r="AD279" s="361"/>
      <c r="AE279" s="57"/>
      <c r="AF279" s="57"/>
      <c r="AG279" s="57"/>
      <c r="AH279" s="57"/>
      <c r="AI279" s="57"/>
      <c r="AJ279" s="57"/>
      <c r="AK279" s="57"/>
      <c r="AL279" s="57"/>
      <c r="AM279" s="57"/>
      <c r="AP279" s="57"/>
      <c r="AQ279" s="57"/>
      <c r="AR279" s="57"/>
    </row>
    <row r="280" spans="1:44" ht="13.5" thickBot="1" x14ac:dyDescent="0.25">
      <c r="A280" s="64" t="str">
        <f>IF(Teams&gt;=44, IF(Ballots = 3, "3", "Hide"), "Hide")</f>
        <v>Hide</v>
      </c>
      <c r="B280" s="388"/>
      <c r="C280" s="281"/>
      <c r="D280" s="282"/>
      <c r="E280" s="282"/>
      <c r="F280" s="77"/>
      <c r="G280" s="70" t="s">
        <v>51</v>
      </c>
      <c r="H280" s="30"/>
      <c r="I280" s="247"/>
      <c r="K280" s="366">
        <v>31</v>
      </c>
      <c r="L280" s="367" t="e">
        <f>MATCH(K280,'Ballot Entry'!$K$215:$K$249,0)</f>
        <v>#N/A</v>
      </c>
      <c r="M280" s="368" t="e">
        <f t="shared" si="42"/>
        <v>#N/A</v>
      </c>
      <c r="N280" s="368" t="e">
        <f t="shared" si="37"/>
        <v>#N/A</v>
      </c>
      <c r="O280" s="368" t="e">
        <f t="shared" si="38"/>
        <v>#N/A</v>
      </c>
      <c r="P280" s="368" t="e">
        <f t="shared" si="39"/>
        <v>#N/A</v>
      </c>
      <c r="Q280" s="374" t="e">
        <f t="shared" si="40"/>
        <v>#N/A</v>
      </c>
      <c r="R280" s="57"/>
      <c r="S280" s="57"/>
      <c r="T280" s="57"/>
      <c r="U280" s="57"/>
      <c r="V280" s="57"/>
      <c r="W280" s="57"/>
      <c r="X280" s="57"/>
      <c r="Y280" s="57"/>
      <c r="Z280" s="57"/>
      <c r="AA280" s="57"/>
      <c r="AB280" s="57"/>
      <c r="AC280" s="57"/>
      <c r="AD280" s="361"/>
      <c r="AE280" s="57"/>
      <c r="AF280" s="57"/>
      <c r="AG280" s="57"/>
      <c r="AH280" s="57"/>
      <c r="AI280" s="57"/>
      <c r="AJ280" s="57"/>
      <c r="AK280" s="57"/>
      <c r="AL280" s="57"/>
      <c r="AM280" s="57"/>
      <c r="AP280" s="57"/>
      <c r="AQ280" s="57"/>
      <c r="AR280" s="57"/>
    </row>
    <row r="281" spans="1:44" ht="15" thickTop="1" x14ac:dyDescent="0.3">
      <c r="A281" s="60" t="str">
        <f>IF(Teams&gt;=46, "3", "Hide")</f>
        <v>Hide</v>
      </c>
      <c r="B281" s="384">
        <f>B175</f>
        <v>0</v>
      </c>
      <c r="C281" s="276" t="s">
        <v>220</v>
      </c>
      <c r="D281" s="384"/>
      <c r="E281" s="276" t="s">
        <v>221</v>
      </c>
      <c r="F281" s="74"/>
      <c r="G281" s="67" t="s">
        <v>49</v>
      </c>
      <c r="H281" s="25"/>
      <c r="I281" s="242"/>
      <c r="K281" s="366">
        <v>32</v>
      </c>
      <c r="L281" s="367" t="e">
        <f>MATCH(K281,'Ballot Entry'!$K$215:$K$249,0)</f>
        <v>#N/A</v>
      </c>
      <c r="M281" s="368" t="e">
        <f t="shared" si="42"/>
        <v>#N/A</v>
      </c>
      <c r="N281" s="368" t="e">
        <f t="shared" si="37"/>
        <v>#N/A</v>
      </c>
      <c r="O281" s="368" t="e">
        <f t="shared" si="38"/>
        <v>#N/A</v>
      </c>
      <c r="P281" s="368" t="e">
        <f t="shared" si="39"/>
        <v>#N/A</v>
      </c>
      <c r="Q281" s="374" t="e">
        <f t="shared" si="40"/>
        <v>#N/A</v>
      </c>
      <c r="R281" s="57"/>
      <c r="S281" s="57"/>
      <c r="T281" s="57"/>
      <c r="U281" s="57"/>
      <c r="V281" s="57"/>
      <c r="W281" s="57"/>
      <c r="X281" s="57"/>
      <c r="Y281" s="57"/>
      <c r="Z281" s="57"/>
      <c r="AA281" s="57"/>
      <c r="AB281" s="57"/>
      <c r="AC281" s="57"/>
      <c r="AD281" s="361"/>
      <c r="AE281" s="57"/>
      <c r="AF281" s="57"/>
      <c r="AG281" s="57"/>
      <c r="AH281" s="57"/>
      <c r="AI281" s="57"/>
      <c r="AJ281" s="57"/>
      <c r="AK281" s="57"/>
      <c r="AL281" s="57"/>
      <c r="AM281" s="57"/>
      <c r="AP281" s="57"/>
      <c r="AQ281" s="57"/>
      <c r="AR281" s="57"/>
    </row>
    <row r="282" spans="1:44" x14ac:dyDescent="0.2">
      <c r="A282" s="61" t="str">
        <f>IF(Teams&gt;=46, "3", "Hide")</f>
        <v>Hide</v>
      </c>
      <c r="G282" s="68" t="s">
        <v>50</v>
      </c>
      <c r="H282" s="26"/>
      <c r="I282" s="243"/>
      <c r="K282" s="366">
        <v>33</v>
      </c>
      <c r="L282" s="367" t="e">
        <f>MATCH(K282,'Ballot Entry'!$K$215:$K$249,0)</f>
        <v>#N/A</v>
      </c>
      <c r="M282" s="368" t="e">
        <f t="shared" si="42"/>
        <v>#N/A</v>
      </c>
      <c r="N282" s="368" t="e">
        <f t="shared" si="37"/>
        <v>#N/A</v>
      </c>
      <c r="O282" s="368" t="e">
        <f t="shared" si="38"/>
        <v>#N/A</v>
      </c>
      <c r="P282" s="368" t="e">
        <f t="shared" si="39"/>
        <v>#N/A</v>
      </c>
      <c r="Q282" s="374" t="e">
        <f t="shared" si="40"/>
        <v>#N/A</v>
      </c>
      <c r="R282" s="57"/>
      <c r="S282" s="57"/>
      <c r="T282" s="57"/>
      <c r="U282" s="57"/>
      <c r="V282" s="57"/>
      <c r="W282" s="57"/>
      <c r="X282" s="57"/>
      <c r="Y282" s="57"/>
      <c r="Z282" s="57"/>
      <c r="AA282" s="57"/>
      <c r="AB282" s="57"/>
      <c r="AC282" s="57"/>
      <c r="AD282" s="361"/>
      <c r="AE282" s="57"/>
      <c r="AF282" s="57"/>
      <c r="AG282" s="57"/>
      <c r="AH282" s="57"/>
      <c r="AI282" s="57"/>
      <c r="AJ282" s="57"/>
      <c r="AK282" s="57"/>
      <c r="AL282" s="57"/>
      <c r="AM282" s="57"/>
      <c r="AP282" s="57"/>
      <c r="AQ282" s="57"/>
      <c r="AR282" s="57"/>
    </row>
    <row r="283" spans="1:44" ht="13.5" thickBot="1" x14ac:dyDescent="0.25">
      <c r="A283" s="61" t="str">
        <f>IF(Teams&gt;=46, IF(Ballots = 3, "3", "Hide"), "Hide")</f>
        <v>Hide</v>
      </c>
      <c r="B283" s="386"/>
      <c r="C283" s="277"/>
      <c r="D283" s="278"/>
      <c r="E283" s="278"/>
      <c r="F283" s="75"/>
      <c r="G283" s="68" t="s">
        <v>51</v>
      </c>
      <c r="H283" s="27"/>
      <c r="I283" s="244"/>
      <c r="K283" s="366">
        <v>34</v>
      </c>
      <c r="L283" s="367" t="e">
        <f>MATCH(K283,'Ballot Entry'!$K$215:$K$249,0)</f>
        <v>#N/A</v>
      </c>
      <c r="M283" s="368" t="e">
        <f t="shared" si="42"/>
        <v>#N/A</v>
      </c>
      <c r="N283" s="368" t="e">
        <f t="shared" si="37"/>
        <v>#N/A</v>
      </c>
      <c r="O283" s="368" t="e">
        <f t="shared" si="38"/>
        <v>#N/A</v>
      </c>
      <c r="P283" s="368" t="e">
        <f t="shared" si="39"/>
        <v>#N/A</v>
      </c>
      <c r="Q283" s="374" t="e">
        <f t="shared" si="40"/>
        <v>#N/A</v>
      </c>
      <c r="R283" s="57"/>
      <c r="S283" s="57"/>
      <c r="T283" s="57"/>
      <c r="U283" s="57"/>
      <c r="V283" s="57"/>
      <c r="W283" s="57"/>
      <c r="X283" s="57"/>
      <c r="Y283" s="57"/>
      <c r="Z283" s="57"/>
      <c r="AA283" s="57"/>
      <c r="AB283" s="57"/>
      <c r="AC283" s="57"/>
      <c r="AD283" s="361"/>
      <c r="AE283" s="57"/>
      <c r="AF283" s="57"/>
      <c r="AG283" s="57"/>
      <c r="AH283" s="57"/>
      <c r="AI283" s="57"/>
      <c r="AJ283" s="57"/>
      <c r="AK283" s="57"/>
      <c r="AL283" s="57"/>
      <c r="AM283" s="57"/>
      <c r="AP283" s="57"/>
      <c r="AQ283" s="57"/>
      <c r="AR283" s="57"/>
    </row>
    <row r="284" spans="1:44" ht="15" thickTop="1" x14ac:dyDescent="0.3">
      <c r="A284" s="62" t="str">
        <f>IF(Teams&gt;=48, "3", "Hide")</f>
        <v>Hide</v>
      </c>
      <c r="B284" s="387">
        <f>B178</f>
        <v>0</v>
      </c>
      <c r="C284" s="279" t="s">
        <v>220</v>
      </c>
      <c r="D284" s="280"/>
      <c r="E284" s="279" t="s">
        <v>221</v>
      </c>
      <c r="F284" s="76"/>
      <c r="G284" s="69" t="s">
        <v>49</v>
      </c>
      <c r="H284" s="28"/>
      <c r="I284" s="245"/>
      <c r="K284" s="375">
        <v>35</v>
      </c>
      <c r="L284" s="376" t="e">
        <f>MATCH(K284,'Ballot Entry'!$K$215:$K$249,0)</f>
        <v>#N/A</v>
      </c>
      <c r="M284" s="377" t="e">
        <f t="shared" si="42"/>
        <v>#N/A</v>
      </c>
      <c r="N284" s="377" t="e">
        <f t="shared" si="37"/>
        <v>#N/A</v>
      </c>
      <c r="O284" s="377" t="e">
        <f t="shared" si="38"/>
        <v>#N/A</v>
      </c>
      <c r="P284" s="377" t="e">
        <f t="shared" si="39"/>
        <v>#N/A</v>
      </c>
      <c r="Q284" s="378" t="e">
        <f t="shared" si="40"/>
        <v>#N/A</v>
      </c>
      <c r="R284" s="57"/>
      <c r="S284" s="57"/>
      <c r="T284" s="57"/>
      <c r="U284" s="57"/>
      <c r="V284" s="57"/>
      <c r="W284" s="57"/>
      <c r="X284" s="57"/>
      <c r="Y284" s="57"/>
      <c r="Z284" s="57"/>
      <c r="AA284" s="57"/>
      <c r="AB284" s="57"/>
      <c r="AC284" s="57"/>
      <c r="AD284" s="361"/>
      <c r="AE284" s="57"/>
      <c r="AF284" s="57"/>
      <c r="AG284" s="57"/>
      <c r="AH284" s="57"/>
      <c r="AI284" s="57"/>
      <c r="AJ284" s="57"/>
      <c r="AK284" s="57"/>
      <c r="AL284" s="57"/>
      <c r="AM284" s="57"/>
      <c r="AP284" s="57"/>
      <c r="AQ284" s="57"/>
      <c r="AR284" s="57"/>
    </row>
    <row r="285" spans="1:44" x14ac:dyDescent="0.2">
      <c r="A285" s="63" t="str">
        <f>IF(Teams&gt;=48, "3", "Hide")</f>
        <v>Hide</v>
      </c>
      <c r="B285" s="386"/>
      <c r="G285" s="68" t="s">
        <v>50</v>
      </c>
      <c r="H285" s="29"/>
      <c r="I285" s="246"/>
      <c r="K285" s="370">
        <v>1</v>
      </c>
      <c r="L285" s="371">
        <f>MATCH(K285,'Ballot Entry'!$L$215:$L$249,0)</f>
        <v>9</v>
      </c>
      <c r="M285" s="372">
        <f t="shared" ref="M285:M319" si="43">INDEX(Round3,$L285,4)</f>
        <v>1029</v>
      </c>
      <c r="N285" s="372">
        <f>INDEX(Round3,L285,3)</f>
        <v>1262</v>
      </c>
      <c r="O285" s="372">
        <f t="shared" ref="O285:O319" si="44">INDEX(Round3,$L285,5)*-1</f>
        <v>3</v>
      </c>
      <c r="P285" s="372">
        <f t="shared" ref="P285:P319" si="45">INDEX(Round3,$L285,6)*-1</f>
        <v>14</v>
      </c>
      <c r="Q285" s="373">
        <f t="shared" ref="Q285:Q319" si="46">INDEX(Round3,$L285,7)*-1</f>
        <v>0</v>
      </c>
      <c r="R285" s="57"/>
      <c r="S285" s="57"/>
      <c r="T285" s="57"/>
      <c r="U285" s="57"/>
      <c r="V285" s="57"/>
      <c r="W285" s="57"/>
      <c r="X285" s="57"/>
      <c r="Y285" s="57"/>
      <c r="Z285" s="57"/>
      <c r="AA285" s="57"/>
      <c r="AB285" s="57"/>
      <c r="AC285" s="57"/>
      <c r="AD285" s="361"/>
      <c r="AE285" s="57"/>
      <c r="AF285" s="57"/>
      <c r="AG285" s="57"/>
      <c r="AH285" s="57"/>
      <c r="AI285" s="57"/>
      <c r="AJ285" s="57"/>
      <c r="AK285" s="57"/>
      <c r="AL285" s="57"/>
      <c r="AM285" s="57"/>
      <c r="AP285" s="57"/>
      <c r="AQ285" s="57"/>
      <c r="AR285" s="57"/>
    </row>
    <row r="286" spans="1:44" ht="13.5" thickBot="1" x14ac:dyDescent="0.25">
      <c r="A286" s="64" t="str">
        <f>IF(Teams&gt;=48, IF(Ballots = 3, "3", "Hide"), "Hide")</f>
        <v>Hide</v>
      </c>
      <c r="B286" s="388"/>
      <c r="C286" s="281"/>
      <c r="D286" s="282"/>
      <c r="E286" s="282"/>
      <c r="F286" s="77"/>
      <c r="G286" s="70" t="s">
        <v>51</v>
      </c>
      <c r="H286" s="30"/>
      <c r="I286" s="247"/>
      <c r="K286" s="366">
        <v>2</v>
      </c>
      <c r="L286" s="367">
        <f>MATCH(K286,'Ballot Entry'!$L$215:$L$249,0)</f>
        <v>1</v>
      </c>
      <c r="M286" s="368">
        <f t="shared" si="43"/>
        <v>1051</v>
      </c>
      <c r="N286" s="368">
        <f t="shared" ref="N286:N303" si="47">INDEX(Round3,L286,3)</f>
        <v>1268</v>
      </c>
      <c r="O286" s="368">
        <f t="shared" si="44"/>
        <v>-24</v>
      </c>
      <c r="P286" s="368">
        <f t="shared" si="45"/>
        <v>-15</v>
      </c>
      <c r="Q286" s="374">
        <f t="shared" si="46"/>
        <v>0</v>
      </c>
      <c r="R286" s="57"/>
      <c r="S286" s="57"/>
      <c r="T286" s="57"/>
      <c r="U286" s="57"/>
      <c r="V286" s="57"/>
      <c r="W286" s="57"/>
      <c r="X286" s="57"/>
      <c r="Y286" s="57"/>
      <c r="Z286" s="57"/>
      <c r="AA286" s="57"/>
      <c r="AB286" s="57"/>
      <c r="AC286" s="57"/>
      <c r="AD286" s="361"/>
      <c r="AE286" s="57"/>
      <c r="AF286" s="57"/>
      <c r="AG286" s="57"/>
      <c r="AH286" s="57"/>
      <c r="AI286" s="57"/>
      <c r="AJ286" s="57"/>
      <c r="AK286" s="57"/>
      <c r="AL286" s="57"/>
      <c r="AM286" s="57"/>
      <c r="AP286" s="57"/>
      <c r="AQ286" s="57"/>
      <c r="AR286" s="57"/>
    </row>
    <row r="287" spans="1:44" ht="15" thickTop="1" x14ac:dyDescent="0.3">
      <c r="A287" s="60" t="str">
        <f>IF(Teams&gt;=50, "3", "Hide")</f>
        <v>Hide</v>
      </c>
      <c r="B287" s="384">
        <f>B181</f>
        <v>0</v>
      </c>
      <c r="C287" s="276" t="s">
        <v>220</v>
      </c>
      <c r="D287" s="384"/>
      <c r="E287" s="276" t="s">
        <v>221</v>
      </c>
      <c r="F287" s="74"/>
      <c r="G287" s="67" t="s">
        <v>49</v>
      </c>
      <c r="H287" s="25"/>
      <c r="I287" s="242"/>
      <c r="K287" s="366">
        <v>3</v>
      </c>
      <c r="L287" s="367">
        <f>MATCH(K287,'Ballot Entry'!$L$215:$L$249,0)</f>
        <v>6</v>
      </c>
      <c r="M287" s="368">
        <f t="shared" si="43"/>
        <v>1078</v>
      </c>
      <c r="N287" s="368">
        <f t="shared" si="47"/>
        <v>1517</v>
      </c>
      <c r="O287" s="368">
        <f t="shared" si="44"/>
        <v>-1</v>
      </c>
      <c r="P287" s="368">
        <f t="shared" si="45"/>
        <v>0</v>
      </c>
      <c r="Q287" s="374">
        <f t="shared" si="46"/>
        <v>0</v>
      </c>
      <c r="R287" s="57"/>
      <c r="S287" s="57"/>
      <c r="T287" s="57"/>
      <c r="U287" s="57"/>
      <c r="V287" s="57"/>
      <c r="W287" s="57"/>
      <c r="X287" s="57"/>
      <c r="Y287" s="57"/>
      <c r="Z287" s="57"/>
      <c r="AA287" s="57"/>
      <c r="AB287" s="57"/>
      <c r="AC287" s="57"/>
      <c r="AD287" s="361"/>
      <c r="AE287" s="57"/>
      <c r="AF287" s="57"/>
      <c r="AG287" s="57"/>
      <c r="AH287" s="57"/>
      <c r="AI287" s="57"/>
      <c r="AJ287" s="57"/>
      <c r="AK287" s="57"/>
      <c r="AL287" s="57"/>
      <c r="AM287" s="57"/>
      <c r="AP287" s="57"/>
      <c r="AQ287" s="57"/>
      <c r="AR287" s="57"/>
    </row>
    <row r="288" spans="1:44" x14ac:dyDescent="0.2">
      <c r="A288" s="61" t="str">
        <f>IF(Teams&gt;=50, "3", "Hide")</f>
        <v>Hide</v>
      </c>
      <c r="G288" s="68" t="s">
        <v>50</v>
      </c>
      <c r="H288" s="26"/>
      <c r="I288" s="243"/>
      <c r="K288" s="366">
        <v>4</v>
      </c>
      <c r="L288" s="367">
        <f>MATCH(K288,'Ballot Entry'!$L$215:$L$249,0)</f>
        <v>4</v>
      </c>
      <c r="M288" s="368">
        <f t="shared" si="43"/>
        <v>1224</v>
      </c>
      <c r="N288" s="368">
        <f t="shared" si="47"/>
        <v>1489</v>
      </c>
      <c r="O288" s="368">
        <f t="shared" si="44"/>
        <v>6</v>
      </c>
      <c r="P288" s="368">
        <f t="shared" si="45"/>
        <v>10</v>
      </c>
      <c r="Q288" s="374">
        <f t="shared" si="46"/>
        <v>0</v>
      </c>
      <c r="R288" s="57"/>
      <c r="S288" s="57"/>
      <c r="T288" s="57"/>
      <c r="U288" s="57"/>
      <c r="V288" s="57"/>
      <c r="W288" s="57"/>
      <c r="X288" s="57"/>
      <c r="Y288" s="57"/>
      <c r="Z288" s="57"/>
      <c r="AA288" s="57"/>
      <c r="AB288" s="57"/>
      <c r="AC288" s="57"/>
      <c r="AD288" s="361"/>
      <c r="AE288" s="57"/>
      <c r="AF288" s="57"/>
      <c r="AG288" s="57"/>
      <c r="AH288" s="57"/>
      <c r="AI288" s="57"/>
      <c r="AJ288" s="57"/>
      <c r="AK288" s="57"/>
      <c r="AL288" s="57"/>
      <c r="AM288" s="57"/>
      <c r="AP288" s="57"/>
      <c r="AQ288" s="57"/>
      <c r="AR288" s="57"/>
    </row>
    <row r="289" spans="1:44" ht="13.5" thickBot="1" x14ac:dyDescent="0.25">
      <c r="A289" s="61" t="str">
        <f>IF(Teams&gt;=50, IF(Ballots = 3, "3", "Hide"), "Hide")</f>
        <v>Hide</v>
      </c>
      <c r="B289" s="386"/>
      <c r="C289" s="277"/>
      <c r="D289" s="278"/>
      <c r="E289" s="278"/>
      <c r="F289" s="75"/>
      <c r="G289" s="68" t="s">
        <v>51</v>
      </c>
      <c r="H289" s="27"/>
      <c r="I289" s="244"/>
      <c r="K289" s="366">
        <v>5</v>
      </c>
      <c r="L289" s="367">
        <f>MATCH(K289,'Ballot Entry'!$L$215:$L$249,0)</f>
        <v>3</v>
      </c>
      <c r="M289" s="368">
        <f t="shared" si="43"/>
        <v>1410</v>
      </c>
      <c r="N289" s="368">
        <f t="shared" si="47"/>
        <v>1217</v>
      </c>
      <c r="O289" s="368">
        <f t="shared" si="44"/>
        <v>5</v>
      </c>
      <c r="P289" s="368">
        <f t="shared" si="45"/>
        <v>0</v>
      </c>
      <c r="Q289" s="374">
        <f t="shared" si="46"/>
        <v>0</v>
      </c>
      <c r="R289" s="57"/>
      <c r="S289" s="57"/>
      <c r="T289" s="57"/>
      <c r="U289" s="57"/>
      <c r="V289" s="57"/>
      <c r="W289" s="57"/>
      <c r="X289" s="57"/>
      <c r="Y289" s="57"/>
      <c r="Z289" s="57"/>
      <c r="AA289" s="57"/>
      <c r="AB289" s="57"/>
      <c r="AC289" s="57"/>
      <c r="AD289" s="361"/>
      <c r="AE289" s="57"/>
      <c r="AF289" s="57"/>
      <c r="AG289" s="57"/>
      <c r="AH289" s="57"/>
      <c r="AI289" s="57"/>
      <c r="AJ289" s="57"/>
      <c r="AK289" s="57"/>
      <c r="AL289" s="57"/>
      <c r="AM289" s="57"/>
      <c r="AP289" s="57"/>
      <c r="AQ289" s="57"/>
      <c r="AR289" s="57"/>
    </row>
    <row r="290" spans="1:44" ht="15" thickTop="1" x14ac:dyDescent="0.3">
      <c r="A290" s="62" t="str">
        <f>IF(Teams&gt;=52, "3", "Hide")</f>
        <v>Hide</v>
      </c>
      <c r="B290" s="387">
        <f>B184</f>
        <v>0</v>
      </c>
      <c r="C290" s="279" t="s">
        <v>220</v>
      </c>
      <c r="D290" s="280"/>
      <c r="E290" s="279" t="s">
        <v>221</v>
      </c>
      <c r="F290" s="76"/>
      <c r="G290" s="69" t="s">
        <v>49</v>
      </c>
      <c r="H290" s="28"/>
      <c r="I290" s="245"/>
      <c r="K290" s="366">
        <v>6</v>
      </c>
      <c r="L290" s="367">
        <f>MATCH(K290,'Ballot Entry'!$L$215:$L$249,0)</f>
        <v>2</v>
      </c>
      <c r="M290" s="368">
        <f t="shared" si="43"/>
        <v>1492</v>
      </c>
      <c r="N290" s="368">
        <f t="shared" si="47"/>
        <v>1693</v>
      </c>
      <c r="O290" s="368">
        <f t="shared" si="44"/>
        <v>3</v>
      </c>
      <c r="P290" s="368">
        <f t="shared" si="45"/>
        <v>9</v>
      </c>
      <c r="Q290" s="374">
        <f t="shared" si="46"/>
        <v>0</v>
      </c>
      <c r="R290" s="57"/>
      <c r="S290" s="57"/>
      <c r="T290" s="57"/>
      <c r="U290" s="57"/>
      <c r="V290" s="57"/>
      <c r="W290" s="57"/>
      <c r="X290" s="57"/>
      <c r="Y290" s="57"/>
      <c r="Z290" s="57"/>
      <c r="AA290" s="57"/>
      <c r="AB290" s="57"/>
      <c r="AC290" s="57"/>
      <c r="AD290" s="361"/>
      <c r="AE290" s="57"/>
      <c r="AF290" s="57"/>
      <c r="AG290" s="57"/>
      <c r="AH290" s="57"/>
      <c r="AI290" s="57"/>
      <c r="AJ290" s="57"/>
      <c r="AK290" s="57"/>
      <c r="AL290" s="57"/>
      <c r="AM290" s="57"/>
      <c r="AP290" s="57"/>
      <c r="AQ290" s="57"/>
      <c r="AR290" s="57"/>
    </row>
    <row r="291" spans="1:44" x14ac:dyDescent="0.2">
      <c r="A291" s="63" t="str">
        <f>IF(Teams&gt;=52, "3", "Hide")</f>
        <v>Hide</v>
      </c>
      <c r="B291" s="386"/>
      <c r="G291" s="68" t="s">
        <v>50</v>
      </c>
      <c r="H291" s="29"/>
      <c r="I291" s="246"/>
      <c r="K291" s="366">
        <v>7</v>
      </c>
      <c r="L291" s="367">
        <f>MATCH(K291,'Ballot Entry'!$L$215:$L$249,0)</f>
        <v>7</v>
      </c>
      <c r="M291" s="368">
        <f t="shared" si="43"/>
        <v>1506</v>
      </c>
      <c r="N291" s="368">
        <f t="shared" si="47"/>
        <v>1616</v>
      </c>
      <c r="O291" s="368">
        <f t="shared" si="44"/>
        <v>10</v>
      </c>
      <c r="P291" s="368">
        <f t="shared" si="45"/>
        <v>-11</v>
      </c>
      <c r="Q291" s="374">
        <f t="shared" si="46"/>
        <v>0</v>
      </c>
      <c r="R291" s="57"/>
      <c r="S291" s="57"/>
      <c r="T291" s="57"/>
      <c r="U291" s="57"/>
      <c r="V291" s="57"/>
      <c r="W291" s="57"/>
      <c r="X291" s="57"/>
      <c r="Y291" s="57"/>
      <c r="Z291" s="57"/>
      <c r="AA291" s="57"/>
      <c r="AB291" s="57"/>
      <c r="AC291" s="57"/>
      <c r="AD291" s="361"/>
      <c r="AE291" s="57"/>
      <c r="AF291" s="57"/>
      <c r="AG291" s="57"/>
      <c r="AH291" s="57"/>
      <c r="AI291" s="57"/>
      <c r="AJ291" s="57"/>
      <c r="AK291" s="57"/>
      <c r="AL291" s="57"/>
      <c r="AM291" s="57"/>
      <c r="AP291" s="57"/>
      <c r="AQ291" s="57"/>
      <c r="AR291" s="57"/>
    </row>
    <row r="292" spans="1:44" ht="13.5" thickBot="1" x14ac:dyDescent="0.25">
      <c r="A292" s="64" t="str">
        <f>IF(Teams&gt;=52, IF(Ballots = 3, "3", "Hide"), "Hide")</f>
        <v>Hide</v>
      </c>
      <c r="B292" s="388"/>
      <c r="C292" s="281"/>
      <c r="D292" s="282"/>
      <c r="E292" s="282"/>
      <c r="F292" s="77"/>
      <c r="G292" s="70" t="s">
        <v>51</v>
      </c>
      <c r="H292" s="30"/>
      <c r="I292" s="247"/>
      <c r="K292" s="366">
        <v>8</v>
      </c>
      <c r="L292" s="367">
        <f>MATCH(K292,'Ballot Entry'!$L$215:$L$249,0)</f>
        <v>8</v>
      </c>
      <c r="M292" s="368">
        <f t="shared" si="43"/>
        <v>1557</v>
      </c>
      <c r="N292" s="368">
        <f t="shared" si="47"/>
        <v>1258</v>
      </c>
      <c r="O292" s="368">
        <f t="shared" si="44"/>
        <v>15</v>
      </c>
      <c r="P292" s="368">
        <f t="shared" si="45"/>
        <v>2</v>
      </c>
      <c r="Q292" s="374">
        <f t="shared" si="46"/>
        <v>0</v>
      </c>
      <c r="R292" s="57"/>
      <c r="S292" s="57"/>
      <c r="T292" s="57"/>
      <c r="U292" s="57"/>
      <c r="V292" s="57"/>
      <c r="W292" s="57"/>
      <c r="X292" s="57"/>
      <c r="Y292" s="57"/>
      <c r="Z292" s="57"/>
      <c r="AA292" s="57"/>
      <c r="AB292" s="57"/>
      <c r="AC292" s="57"/>
      <c r="AD292" s="361"/>
      <c r="AE292" s="57"/>
      <c r="AF292" s="57"/>
      <c r="AG292" s="57"/>
      <c r="AH292" s="57"/>
      <c r="AI292" s="57"/>
      <c r="AJ292" s="57"/>
      <c r="AK292" s="57"/>
      <c r="AL292" s="57"/>
      <c r="AM292" s="57"/>
      <c r="AP292" s="57"/>
      <c r="AQ292" s="57"/>
      <c r="AR292" s="57"/>
    </row>
    <row r="293" spans="1:44" ht="15" thickTop="1" x14ac:dyDescent="0.3">
      <c r="A293" s="60" t="str">
        <f>IF(Teams&gt;=54, "3", "Hide")</f>
        <v>Hide</v>
      </c>
      <c r="B293" s="384">
        <f>B187</f>
        <v>0</v>
      </c>
      <c r="C293" s="276" t="s">
        <v>220</v>
      </c>
      <c r="D293" s="384"/>
      <c r="E293" s="276" t="s">
        <v>221</v>
      </c>
      <c r="F293" s="74"/>
      <c r="G293" s="67" t="s">
        <v>49</v>
      </c>
      <c r="H293" s="25"/>
      <c r="I293" s="242"/>
      <c r="K293" s="366">
        <v>9</v>
      </c>
      <c r="L293" s="367">
        <f>MATCH(K293,'Ballot Entry'!$L$215:$L$249,0)</f>
        <v>5</v>
      </c>
      <c r="M293" s="368">
        <f t="shared" si="43"/>
        <v>1577</v>
      </c>
      <c r="N293" s="368">
        <f t="shared" si="47"/>
        <v>1001</v>
      </c>
      <c r="O293" s="368">
        <f t="shared" si="44"/>
        <v>0</v>
      </c>
      <c r="P293" s="368">
        <f t="shared" si="45"/>
        <v>5</v>
      </c>
      <c r="Q293" s="374">
        <f t="shared" si="46"/>
        <v>0</v>
      </c>
      <c r="R293" s="57"/>
      <c r="S293" s="57"/>
      <c r="T293" s="57"/>
      <c r="U293" s="57"/>
      <c r="V293" s="57"/>
      <c r="W293" s="57"/>
      <c r="X293" s="57"/>
      <c r="Y293" s="57"/>
      <c r="Z293" s="57"/>
      <c r="AA293" s="57"/>
      <c r="AB293" s="57"/>
      <c r="AC293" s="57"/>
      <c r="AD293" s="361"/>
      <c r="AE293" s="57"/>
      <c r="AF293" s="57"/>
      <c r="AG293" s="57"/>
      <c r="AH293" s="57"/>
      <c r="AI293" s="57"/>
      <c r="AJ293" s="57"/>
      <c r="AK293" s="57"/>
      <c r="AL293" s="57"/>
      <c r="AM293" s="57"/>
      <c r="AP293" s="57"/>
      <c r="AQ293" s="57"/>
      <c r="AR293" s="57"/>
    </row>
    <row r="294" spans="1:44" x14ac:dyDescent="0.2">
      <c r="A294" s="61" t="str">
        <f>IF(Teams&gt;=54, "3", "Hide")</f>
        <v>Hide</v>
      </c>
      <c r="G294" s="68" t="s">
        <v>50</v>
      </c>
      <c r="H294" s="26"/>
      <c r="I294" s="243"/>
      <c r="K294" s="366">
        <v>10</v>
      </c>
      <c r="L294" s="367">
        <f>MATCH(K294,'Ballot Entry'!$L$215:$L$249,0)</f>
        <v>10</v>
      </c>
      <c r="M294" s="368">
        <f t="shared" si="43"/>
        <v>9999</v>
      </c>
      <c r="N294" s="368">
        <f t="shared" si="47"/>
        <v>9999</v>
      </c>
      <c r="O294" s="368">
        <f t="shared" si="44"/>
        <v>0</v>
      </c>
      <c r="P294" s="368">
        <f t="shared" si="45"/>
        <v>0</v>
      </c>
      <c r="Q294" s="374">
        <f t="shared" si="46"/>
        <v>0</v>
      </c>
      <c r="R294" s="57"/>
      <c r="S294" s="57"/>
      <c r="T294" s="57"/>
      <c r="U294" s="57"/>
      <c r="V294" s="57"/>
      <c r="W294" s="57"/>
      <c r="X294" s="57"/>
      <c r="Y294" s="57"/>
      <c r="Z294" s="57"/>
      <c r="AA294" s="57"/>
      <c r="AB294" s="57"/>
      <c r="AC294" s="57"/>
      <c r="AD294" s="361"/>
      <c r="AE294" s="57"/>
      <c r="AF294" s="57"/>
      <c r="AG294" s="57"/>
      <c r="AH294" s="57"/>
      <c r="AI294" s="57"/>
      <c r="AJ294" s="57"/>
      <c r="AK294" s="57"/>
      <c r="AL294" s="57"/>
      <c r="AM294" s="57"/>
      <c r="AP294" s="57"/>
      <c r="AQ294" s="57"/>
      <c r="AR294" s="57"/>
    </row>
    <row r="295" spans="1:44" ht="13.5" thickBot="1" x14ac:dyDescent="0.25">
      <c r="A295" s="61" t="str">
        <f>IF(Teams&gt;=54, IF(Ballots = 3, "3", "Hide"), "Hide")</f>
        <v>Hide</v>
      </c>
      <c r="B295" s="386"/>
      <c r="C295" s="277"/>
      <c r="D295" s="278"/>
      <c r="E295" s="278"/>
      <c r="F295" s="75"/>
      <c r="G295" s="68" t="s">
        <v>51</v>
      </c>
      <c r="H295" s="27"/>
      <c r="I295" s="244"/>
      <c r="K295" s="366">
        <v>11</v>
      </c>
      <c r="L295" s="367" t="e">
        <f>MATCH(K295,'Ballot Entry'!$L$215:$L$249,0)</f>
        <v>#N/A</v>
      </c>
      <c r="M295" s="368" t="e">
        <f t="shared" si="43"/>
        <v>#N/A</v>
      </c>
      <c r="N295" s="368" t="e">
        <f t="shared" si="47"/>
        <v>#N/A</v>
      </c>
      <c r="O295" s="368" t="e">
        <f t="shared" si="44"/>
        <v>#N/A</v>
      </c>
      <c r="P295" s="368" t="e">
        <f t="shared" si="45"/>
        <v>#N/A</v>
      </c>
      <c r="Q295" s="374" t="e">
        <f t="shared" si="46"/>
        <v>#N/A</v>
      </c>
      <c r="R295" s="57"/>
      <c r="S295" s="57"/>
      <c r="T295" s="57"/>
      <c r="U295" s="57"/>
      <c r="V295" s="57"/>
      <c r="W295" s="57"/>
      <c r="X295" s="57"/>
      <c r="Y295" s="57"/>
      <c r="Z295" s="57"/>
      <c r="AA295" s="57"/>
      <c r="AB295" s="57"/>
      <c r="AC295" s="57"/>
      <c r="AD295" s="361"/>
      <c r="AE295" s="57"/>
      <c r="AF295" s="57"/>
      <c r="AG295" s="57"/>
      <c r="AH295" s="57"/>
      <c r="AI295" s="57"/>
      <c r="AJ295" s="57"/>
      <c r="AK295" s="57"/>
      <c r="AL295" s="57"/>
      <c r="AM295" s="57"/>
      <c r="AP295" s="57"/>
      <c r="AQ295" s="57"/>
      <c r="AR295" s="57"/>
    </row>
    <row r="296" spans="1:44" ht="15" thickTop="1" x14ac:dyDescent="0.3">
      <c r="A296" s="62" t="str">
        <f>IF(Teams&gt;=56, "3", "Hide")</f>
        <v>Hide</v>
      </c>
      <c r="B296" s="387">
        <f>B190</f>
        <v>0</v>
      </c>
      <c r="C296" s="279" t="s">
        <v>220</v>
      </c>
      <c r="D296" s="280"/>
      <c r="E296" s="279" t="s">
        <v>221</v>
      </c>
      <c r="F296" s="76"/>
      <c r="G296" s="69" t="s">
        <v>49</v>
      </c>
      <c r="H296" s="28"/>
      <c r="I296" s="245"/>
      <c r="K296" s="366">
        <v>12</v>
      </c>
      <c r="L296" s="367" t="e">
        <f>MATCH(K296,'Ballot Entry'!$L$215:$L$249,0)</f>
        <v>#N/A</v>
      </c>
      <c r="M296" s="368" t="e">
        <f t="shared" si="43"/>
        <v>#N/A</v>
      </c>
      <c r="N296" s="368" t="e">
        <f t="shared" si="47"/>
        <v>#N/A</v>
      </c>
      <c r="O296" s="368" t="e">
        <f t="shared" si="44"/>
        <v>#N/A</v>
      </c>
      <c r="P296" s="368" t="e">
        <f t="shared" si="45"/>
        <v>#N/A</v>
      </c>
      <c r="Q296" s="374" t="e">
        <f t="shared" si="46"/>
        <v>#N/A</v>
      </c>
      <c r="R296" s="57"/>
      <c r="S296" s="57"/>
      <c r="T296" s="57"/>
      <c r="U296" s="57"/>
      <c r="V296" s="57"/>
      <c r="W296" s="57"/>
      <c r="X296" s="57"/>
      <c r="Y296" s="57"/>
      <c r="Z296" s="57"/>
      <c r="AA296" s="57"/>
      <c r="AB296" s="57"/>
      <c r="AC296" s="57"/>
      <c r="AD296" s="361"/>
      <c r="AE296" s="57"/>
      <c r="AF296" s="57"/>
      <c r="AG296" s="57"/>
      <c r="AH296" s="57"/>
      <c r="AI296" s="57"/>
      <c r="AJ296" s="57"/>
      <c r="AK296" s="57"/>
      <c r="AL296" s="57"/>
      <c r="AM296" s="57"/>
      <c r="AP296" s="57"/>
      <c r="AQ296" s="57"/>
      <c r="AR296" s="57"/>
    </row>
    <row r="297" spans="1:44" x14ac:dyDescent="0.2">
      <c r="A297" s="63" t="str">
        <f>IF(Teams&gt;=56, "3", "Hide")</f>
        <v>Hide</v>
      </c>
      <c r="B297" s="386"/>
      <c r="G297" s="68" t="s">
        <v>50</v>
      </c>
      <c r="H297" s="29"/>
      <c r="I297" s="246"/>
      <c r="K297" s="366">
        <v>13</v>
      </c>
      <c r="L297" s="367" t="e">
        <f>MATCH(K297,'Ballot Entry'!$L$215:$L$249,0)</f>
        <v>#N/A</v>
      </c>
      <c r="M297" s="368" t="e">
        <f t="shared" si="43"/>
        <v>#N/A</v>
      </c>
      <c r="N297" s="368" t="e">
        <f t="shared" si="47"/>
        <v>#N/A</v>
      </c>
      <c r="O297" s="368" t="e">
        <f t="shared" si="44"/>
        <v>#N/A</v>
      </c>
      <c r="P297" s="368" t="e">
        <f t="shared" si="45"/>
        <v>#N/A</v>
      </c>
      <c r="Q297" s="374" t="e">
        <f t="shared" si="46"/>
        <v>#N/A</v>
      </c>
      <c r="R297" s="57"/>
      <c r="S297" s="57"/>
      <c r="T297" s="57"/>
      <c r="U297" s="57"/>
      <c r="V297" s="57"/>
      <c r="W297" s="57"/>
      <c r="X297" s="57"/>
      <c r="Y297" s="57"/>
      <c r="Z297" s="57"/>
      <c r="AA297" s="57"/>
      <c r="AB297" s="57"/>
      <c r="AC297" s="57"/>
      <c r="AD297" s="361"/>
      <c r="AE297" s="57"/>
      <c r="AF297" s="57"/>
      <c r="AG297" s="57"/>
      <c r="AH297" s="57"/>
      <c r="AI297" s="57"/>
      <c r="AJ297" s="57"/>
      <c r="AK297" s="57"/>
      <c r="AL297" s="57"/>
      <c r="AM297" s="57"/>
      <c r="AP297" s="57"/>
      <c r="AQ297" s="57"/>
      <c r="AR297" s="57"/>
    </row>
    <row r="298" spans="1:44" ht="13.5" thickBot="1" x14ac:dyDescent="0.25">
      <c r="A298" s="64" t="str">
        <f>IF(Teams&gt;=56, IF(Ballots = 3, "3", "Hide"), "Hide")</f>
        <v>Hide</v>
      </c>
      <c r="B298" s="388"/>
      <c r="C298" s="281"/>
      <c r="D298" s="282"/>
      <c r="E298" s="282"/>
      <c r="F298" s="77"/>
      <c r="G298" s="70" t="s">
        <v>51</v>
      </c>
      <c r="H298" s="30"/>
      <c r="I298" s="247"/>
      <c r="K298" s="366">
        <v>14</v>
      </c>
      <c r="L298" s="367" t="e">
        <f>MATCH(K298,'Ballot Entry'!$L$215:$L$249,0)</f>
        <v>#N/A</v>
      </c>
      <c r="M298" s="368" t="e">
        <f t="shared" si="43"/>
        <v>#N/A</v>
      </c>
      <c r="N298" s="368" t="e">
        <f t="shared" si="47"/>
        <v>#N/A</v>
      </c>
      <c r="O298" s="368" t="e">
        <f t="shared" si="44"/>
        <v>#N/A</v>
      </c>
      <c r="P298" s="368" t="e">
        <f t="shared" si="45"/>
        <v>#N/A</v>
      </c>
      <c r="Q298" s="374" t="e">
        <f t="shared" si="46"/>
        <v>#N/A</v>
      </c>
      <c r="R298" s="57"/>
      <c r="S298" s="57"/>
      <c r="T298" s="57"/>
      <c r="U298" s="57"/>
      <c r="V298" s="57"/>
      <c r="W298" s="57"/>
      <c r="X298" s="57"/>
      <c r="Y298" s="57"/>
      <c r="Z298" s="57"/>
      <c r="AA298" s="57"/>
      <c r="AB298" s="57"/>
      <c r="AC298" s="57"/>
      <c r="AD298" s="361"/>
      <c r="AE298" s="57"/>
      <c r="AF298" s="57"/>
      <c r="AG298" s="57"/>
      <c r="AH298" s="57"/>
      <c r="AI298" s="57"/>
      <c r="AJ298" s="57"/>
      <c r="AK298" s="57"/>
      <c r="AL298" s="57"/>
      <c r="AM298" s="57"/>
      <c r="AP298" s="57"/>
      <c r="AQ298" s="57"/>
      <c r="AR298" s="57"/>
    </row>
    <row r="299" spans="1:44" ht="15" thickTop="1" x14ac:dyDescent="0.3">
      <c r="A299" s="60" t="str">
        <f>IF(Teams&gt;=58, "3", "Hide")</f>
        <v>Hide</v>
      </c>
      <c r="B299" s="384">
        <f>B193</f>
        <v>0</v>
      </c>
      <c r="C299" s="276" t="s">
        <v>220</v>
      </c>
      <c r="D299" s="384"/>
      <c r="E299" s="276" t="s">
        <v>221</v>
      </c>
      <c r="F299" s="74"/>
      <c r="G299" s="67" t="s">
        <v>49</v>
      </c>
      <c r="H299" s="25"/>
      <c r="I299" s="242"/>
      <c r="K299" s="366">
        <v>15</v>
      </c>
      <c r="L299" s="367" t="e">
        <f>MATCH(K299,'Ballot Entry'!$L$215:$L$249,0)</f>
        <v>#N/A</v>
      </c>
      <c r="M299" s="368" t="e">
        <f t="shared" si="43"/>
        <v>#N/A</v>
      </c>
      <c r="N299" s="368" t="e">
        <f t="shared" si="47"/>
        <v>#N/A</v>
      </c>
      <c r="O299" s="368" t="e">
        <f t="shared" si="44"/>
        <v>#N/A</v>
      </c>
      <c r="P299" s="368" t="e">
        <f t="shared" si="45"/>
        <v>#N/A</v>
      </c>
      <c r="Q299" s="374" t="e">
        <f t="shared" si="46"/>
        <v>#N/A</v>
      </c>
      <c r="R299" s="57"/>
      <c r="S299" s="57"/>
      <c r="T299" s="57"/>
      <c r="U299" s="57"/>
      <c r="V299" s="57"/>
      <c r="W299" s="57"/>
      <c r="X299" s="57"/>
      <c r="Y299" s="57"/>
      <c r="Z299" s="57"/>
      <c r="AA299" s="57"/>
      <c r="AB299" s="57"/>
      <c r="AC299" s="57"/>
      <c r="AD299" s="361"/>
      <c r="AE299" s="57"/>
      <c r="AF299" s="57"/>
      <c r="AG299" s="57"/>
      <c r="AH299" s="57"/>
      <c r="AI299" s="57"/>
      <c r="AJ299" s="57"/>
      <c r="AK299" s="57"/>
      <c r="AL299" s="57"/>
      <c r="AM299" s="57"/>
      <c r="AP299" s="57"/>
      <c r="AQ299" s="57"/>
      <c r="AR299" s="57"/>
    </row>
    <row r="300" spans="1:44" x14ac:dyDescent="0.2">
      <c r="A300" s="61" t="str">
        <f>IF(Teams&gt;=58, "3", "Hide")</f>
        <v>Hide</v>
      </c>
      <c r="G300" s="68" t="s">
        <v>50</v>
      </c>
      <c r="H300" s="26"/>
      <c r="I300" s="243"/>
      <c r="K300" s="366">
        <v>16</v>
      </c>
      <c r="L300" s="367" t="e">
        <f>MATCH(K300,'Ballot Entry'!$L$215:$L$249,0)</f>
        <v>#N/A</v>
      </c>
      <c r="M300" s="368" t="e">
        <f t="shared" si="43"/>
        <v>#N/A</v>
      </c>
      <c r="N300" s="368" t="e">
        <f t="shared" si="47"/>
        <v>#N/A</v>
      </c>
      <c r="O300" s="368" t="e">
        <f t="shared" si="44"/>
        <v>#N/A</v>
      </c>
      <c r="P300" s="368" t="e">
        <f t="shared" si="45"/>
        <v>#N/A</v>
      </c>
      <c r="Q300" s="374" t="e">
        <f t="shared" si="46"/>
        <v>#N/A</v>
      </c>
      <c r="R300" s="57"/>
      <c r="S300" s="57"/>
      <c r="T300" s="57"/>
      <c r="U300" s="57"/>
      <c r="V300" s="57"/>
      <c r="W300" s="57"/>
      <c r="X300" s="57"/>
      <c r="Y300" s="57"/>
      <c r="Z300" s="57"/>
      <c r="AA300" s="57"/>
      <c r="AB300" s="57"/>
      <c r="AC300" s="57"/>
      <c r="AD300" s="361"/>
      <c r="AE300" s="57"/>
      <c r="AF300" s="57"/>
      <c r="AG300" s="57"/>
      <c r="AH300" s="57"/>
      <c r="AI300" s="57"/>
      <c r="AJ300" s="57"/>
      <c r="AK300" s="57"/>
      <c r="AL300" s="57"/>
      <c r="AM300" s="57"/>
      <c r="AP300" s="57"/>
      <c r="AQ300" s="57"/>
      <c r="AR300" s="57"/>
    </row>
    <row r="301" spans="1:44" ht="13.5" thickBot="1" x14ac:dyDescent="0.25">
      <c r="A301" s="61" t="str">
        <f>IF(Teams&gt;=58, IF(Ballots = 3, "3", "Hide"), "Hide")</f>
        <v>Hide</v>
      </c>
      <c r="B301" s="386"/>
      <c r="C301" s="277"/>
      <c r="D301" s="278"/>
      <c r="E301" s="278"/>
      <c r="F301" s="75"/>
      <c r="G301" s="68" t="s">
        <v>51</v>
      </c>
      <c r="H301" s="27"/>
      <c r="I301" s="244"/>
      <c r="K301" s="366">
        <v>17</v>
      </c>
      <c r="L301" s="367" t="e">
        <f>MATCH(K301,'Ballot Entry'!$L$215:$L$249,0)</f>
        <v>#N/A</v>
      </c>
      <c r="M301" s="368" t="e">
        <f t="shared" si="43"/>
        <v>#N/A</v>
      </c>
      <c r="N301" s="368" t="e">
        <f t="shared" si="47"/>
        <v>#N/A</v>
      </c>
      <c r="O301" s="368" t="e">
        <f t="shared" si="44"/>
        <v>#N/A</v>
      </c>
      <c r="P301" s="368" t="e">
        <f t="shared" si="45"/>
        <v>#N/A</v>
      </c>
      <c r="Q301" s="374" t="e">
        <f t="shared" si="46"/>
        <v>#N/A</v>
      </c>
      <c r="R301" s="57"/>
      <c r="S301" s="57"/>
      <c r="T301" s="57"/>
      <c r="U301" s="57"/>
      <c r="V301" s="57"/>
      <c r="W301" s="57"/>
      <c r="X301" s="57"/>
      <c r="Y301" s="57"/>
      <c r="Z301" s="57"/>
      <c r="AA301" s="57"/>
      <c r="AB301" s="57"/>
      <c r="AC301" s="57"/>
      <c r="AD301" s="361"/>
      <c r="AE301" s="57"/>
      <c r="AF301" s="57"/>
      <c r="AG301" s="57"/>
      <c r="AH301" s="57"/>
      <c r="AI301" s="57"/>
      <c r="AJ301" s="57"/>
      <c r="AK301" s="57"/>
      <c r="AL301" s="57"/>
      <c r="AM301" s="57"/>
      <c r="AP301" s="57"/>
      <c r="AQ301" s="57"/>
      <c r="AR301" s="57"/>
    </row>
    <row r="302" spans="1:44" ht="15" thickTop="1" x14ac:dyDescent="0.3">
      <c r="A302" s="62" t="str">
        <f>IF(Teams&gt;=60, "3", "Hide")</f>
        <v>Hide</v>
      </c>
      <c r="B302" s="387">
        <f>B196</f>
        <v>0</v>
      </c>
      <c r="C302" s="279" t="s">
        <v>220</v>
      </c>
      <c r="D302" s="280"/>
      <c r="E302" s="279" t="s">
        <v>221</v>
      </c>
      <c r="F302" s="76"/>
      <c r="G302" s="69" t="s">
        <v>49</v>
      </c>
      <c r="H302" s="28"/>
      <c r="I302" s="245"/>
      <c r="K302" s="366">
        <v>18</v>
      </c>
      <c r="L302" s="367" t="e">
        <f>MATCH(K302,'Ballot Entry'!$L$215:$L$249,0)</f>
        <v>#N/A</v>
      </c>
      <c r="M302" s="368" t="e">
        <f t="shared" si="43"/>
        <v>#N/A</v>
      </c>
      <c r="N302" s="368" t="e">
        <f t="shared" si="47"/>
        <v>#N/A</v>
      </c>
      <c r="O302" s="368" t="e">
        <f t="shared" si="44"/>
        <v>#N/A</v>
      </c>
      <c r="P302" s="368" t="e">
        <f t="shared" si="45"/>
        <v>#N/A</v>
      </c>
      <c r="Q302" s="374" t="e">
        <f t="shared" si="46"/>
        <v>#N/A</v>
      </c>
      <c r="R302" s="57"/>
      <c r="S302" s="57"/>
      <c r="T302" s="57"/>
      <c r="U302" s="57"/>
      <c r="V302" s="57"/>
      <c r="W302" s="57"/>
      <c r="X302" s="57"/>
      <c r="Y302" s="57"/>
      <c r="Z302" s="57"/>
      <c r="AA302" s="57"/>
      <c r="AB302" s="57"/>
      <c r="AC302" s="57"/>
      <c r="AD302" s="361"/>
      <c r="AE302" s="57"/>
      <c r="AF302" s="57"/>
      <c r="AG302" s="57"/>
      <c r="AH302" s="57"/>
      <c r="AI302" s="57"/>
      <c r="AJ302" s="57"/>
      <c r="AK302" s="57"/>
      <c r="AL302" s="57"/>
      <c r="AM302" s="57"/>
      <c r="AP302" s="57"/>
      <c r="AQ302" s="57"/>
      <c r="AR302" s="57"/>
    </row>
    <row r="303" spans="1:44" x14ac:dyDescent="0.2">
      <c r="A303" s="63" t="str">
        <f>IF(Teams&gt;=60, "3", "Hide")</f>
        <v>Hide</v>
      </c>
      <c r="B303" s="386"/>
      <c r="G303" s="68" t="s">
        <v>50</v>
      </c>
      <c r="H303" s="29"/>
      <c r="I303" s="246"/>
      <c r="K303" s="366">
        <v>19</v>
      </c>
      <c r="L303" s="367" t="e">
        <f>MATCH(K303,'Ballot Entry'!$L$215:$L$249,0)</f>
        <v>#N/A</v>
      </c>
      <c r="M303" s="368" t="e">
        <f t="shared" si="43"/>
        <v>#N/A</v>
      </c>
      <c r="N303" s="368" t="e">
        <f t="shared" si="47"/>
        <v>#N/A</v>
      </c>
      <c r="O303" s="368" t="e">
        <f t="shared" si="44"/>
        <v>#N/A</v>
      </c>
      <c r="P303" s="368" t="e">
        <f t="shared" si="45"/>
        <v>#N/A</v>
      </c>
      <c r="Q303" s="374" t="e">
        <f t="shared" si="46"/>
        <v>#N/A</v>
      </c>
      <c r="R303" s="57"/>
      <c r="S303" s="57"/>
      <c r="T303" s="57"/>
      <c r="U303" s="57"/>
      <c r="V303" s="57"/>
      <c r="W303" s="57"/>
      <c r="X303" s="57"/>
      <c r="Y303" s="57"/>
      <c r="Z303" s="57"/>
      <c r="AA303" s="57"/>
      <c r="AB303" s="57"/>
      <c r="AC303" s="57"/>
      <c r="AD303" s="361"/>
      <c r="AE303" s="57"/>
      <c r="AF303" s="57"/>
      <c r="AG303" s="57"/>
      <c r="AH303" s="57"/>
      <c r="AI303" s="57"/>
      <c r="AJ303" s="57"/>
      <c r="AK303" s="57"/>
      <c r="AL303" s="57"/>
      <c r="AM303" s="57"/>
      <c r="AP303" s="57"/>
      <c r="AQ303" s="57"/>
      <c r="AR303" s="57"/>
    </row>
    <row r="304" spans="1:44" ht="13.5" thickBot="1" x14ac:dyDescent="0.25">
      <c r="A304" s="64" t="str">
        <f>IF(Teams&gt;=60, IF(Ballots = 3, "3", "Hide"), "Hide")</f>
        <v>Hide</v>
      </c>
      <c r="B304" s="388"/>
      <c r="C304" s="281"/>
      <c r="D304" s="282"/>
      <c r="E304" s="282"/>
      <c r="F304" s="77"/>
      <c r="G304" s="70" t="s">
        <v>51</v>
      </c>
      <c r="H304" s="30"/>
      <c r="I304" s="247"/>
      <c r="K304" s="366">
        <v>20</v>
      </c>
      <c r="L304" s="367" t="e">
        <f>MATCH(K304,'Ballot Entry'!$L$215:$L$249,0)</f>
        <v>#N/A</v>
      </c>
      <c r="M304" s="368" t="e">
        <f t="shared" si="43"/>
        <v>#N/A</v>
      </c>
      <c r="N304" s="368" t="e">
        <f t="shared" ref="N304:N319" si="48">INDEX(Round3,L304,3)</f>
        <v>#N/A</v>
      </c>
      <c r="O304" s="368" t="e">
        <f t="shared" si="44"/>
        <v>#N/A</v>
      </c>
      <c r="P304" s="368" t="e">
        <f t="shared" si="45"/>
        <v>#N/A</v>
      </c>
      <c r="Q304" s="374" t="e">
        <f t="shared" si="46"/>
        <v>#N/A</v>
      </c>
      <c r="R304" s="57"/>
      <c r="S304" s="57"/>
      <c r="T304" s="57"/>
      <c r="U304" s="57"/>
      <c r="V304" s="57"/>
      <c r="W304" s="57"/>
      <c r="X304" s="57"/>
      <c r="Y304" s="57"/>
      <c r="Z304" s="57"/>
      <c r="AA304" s="57"/>
      <c r="AB304" s="57"/>
      <c r="AC304" s="57"/>
      <c r="AD304" s="361"/>
      <c r="AE304" s="57"/>
      <c r="AF304" s="57"/>
      <c r="AG304" s="57"/>
      <c r="AH304" s="57"/>
      <c r="AI304" s="57"/>
      <c r="AJ304" s="57"/>
      <c r="AK304" s="57"/>
      <c r="AL304" s="57"/>
      <c r="AM304" s="57"/>
      <c r="AP304" s="57"/>
      <c r="AQ304" s="57"/>
      <c r="AR304" s="57"/>
    </row>
    <row r="305" spans="1:44" ht="15" thickTop="1" x14ac:dyDescent="0.3">
      <c r="A305" s="60" t="str">
        <f>IF(Teams&gt;=62, "3", "Hide")</f>
        <v>Hide</v>
      </c>
      <c r="B305" s="384">
        <f>B199</f>
        <v>0</v>
      </c>
      <c r="C305" s="276" t="s">
        <v>220</v>
      </c>
      <c r="D305" s="384"/>
      <c r="E305" s="276" t="s">
        <v>221</v>
      </c>
      <c r="F305" s="74"/>
      <c r="G305" s="67" t="s">
        <v>49</v>
      </c>
      <c r="H305" s="25"/>
      <c r="I305" s="242"/>
      <c r="K305" s="366">
        <v>21</v>
      </c>
      <c r="L305" s="367" t="e">
        <f>MATCH(K305,'Ballot Entry'!$L$215:$L$249,0)</f>
        <v>#N/A</v>
      </c>
      <c r="M305" s="368" t="e">
        <f t="shared" si="43"/>
        <v>#N/A</v>
      </c>
      <c r="N305" s="368" t="e">
        <f t="shared" si="48"/>
        <v>#N/A</v>
      </c>
      <c r="O305" s="368" t="e">
        <f t="shared" si="44"/>
        <v>#N/A</v>
      </c>
      <c r="P305" s="368" t="e">
        <f t="shared" si="45"/>
        <v>#N/A</v>
      </c>
      <c r="Q305" s="374" t="e">
        <f t="shared" si="46"/>
        <v>#N/A</v>
      </c>
      <c r="R305" s="57"/>
      <c r="S305" s="57"/>
      <c r="T305" s="57"/>
      <c r="U305" s="57"/>
      <c r="V305" s="57"/>
      <c r="W305" s="57"/>
      <c r="X305" s="57"/>
      <c r="Y305" s="57"/>
      <c r="Z305" s="57"/>
      <c r="AA305" s="57"/>
      <c r="AB305" s="57"/>
      <c r="AC305" s="57"/>
      <c r="AD305" s="361"/>
      <c r="AE305" s="57"/>
      <c r="AF305" s="57"/>
      <c r="AG305" s="57"/>
      <c r="AH305" s="57"/>
      <c r="AI305" s="57"/>
      <c r="AJ305" s="57"/>
      <c r="AK305" s="57"/>
      <c r="AL305" s="57"/>
      <c r="AM305" s="57"/>
      <c r="AP305" s="57"/>
      <c r="AQ305" s="57"/>
      <c r="AR305" s="57"/>
    </row>
    <row r="306" spans="1:44" x14ac:dyDescent="0.2">
      <c r="A306" s="61" t="str">
        <f>IF(Teams&gt;=62, "3", "Hide")</f>
        <v>Hide</v>
      </c>
      <c r="G306" s="68" t="s">
        <v>50</v>
      </c>
      <c r="H306" s="26"/>
      <c r="I306" s="243"/>
      <c r="K306" s="366">
        <v>22</v>
      </c>
      <c r="L306" s="367" t="e">
        <f>MATCH(K306,'Ballot Entry'!$L$215:$L$249,0)</f>
        <v>#N/A</v>
      </c>
      <c r="M306" s="368" t="e">
        <f t="shared" si="43"/>
        <v>#N/A</v>
      </c>
      <c r="N306" s="368" t="e">
        <f t="shared" si="48"/>
        <v>#N/A</v>
      </c>
      <c r="O306" s="368" t="e">
        <f t="shared" si="44"/>
        <v>#N/A</v>
      </c>
      <c r="P306" s="368" t="e">
        <f t="shared" si="45"/>
        <v>#N/A</v>
      </c>
      <c r="Q306" s="374" t="e">
        <f t="shared" si="46"/>
        <v>#N/A</v>
      </c>
      <c r="R306" s="57"/>
      <c r="S306" s="57"/>
      <c r="T306" s="57"/>
      <c r="U306" s="57"/>
      <c r="V306" s="57"/>
      <c r="W306" s="57"/>
      <c r="X306" s="57"/>
      <c r="Y306" s="57"/>
      <c r="Z306" s="57"/>
      <c r="AA306" s="57"/>
      <c r="AB306" s="57"/>
      <c r="AC306" s="57"/>
      <c r="AD306" s="361"/>
      <c r="AE306" s="57"/>
      <c r="AF306" s="57"/>
      <c r="AG306" s="57"/>
      <c r="AH306" s="57"/>
      <c r="AI306" s="57"/>
      <c r="AJ306" s="57"/>
      <c r="AK306" s="57"/>
      <c r="AL306" s="57"/>
      <c r="AM306" s="57"/>
      <c r="AP306" s="57"/>
      <c r="AQ306" s="57"/>
      <c r="AR306" s="57"/>
    </row>
    <row r="307" spans="1:44" ht="13.5" thickBot="1" x14ac:dyDescent="0.25">
      <c r="A307" s="61" t="str">
        <f>IF(Teams&gt;=62, IF(Ballots = 3, "3", "Hide"), "Hide")</f>
        <v>Hide</v>
      </c>
      <c r="B307" s="386"/>
      <c r="C307" s="277"/>
      <c r="D307" s="278"/>
      <c r="E307" s="278"/>
      <c r="F307" s="75"/>
      <c r="G307" s="68" t="s">
        <v>51</v>
      </c>
      <c r="H307" s="27"/>
      <c r="I307" s="244"/>
      <c r="K307" s="366">
        <v>23</v>
      </c>
      <c r="L307" s="367" t="e">
        <f>MATCH(K307,'Ballot Entry'!$L$215:$L$249,0)</f>
        <v>#N/A</v>
      </c>
      <c r="M307" s="368" t="e">
        <f t="shared" si="43"/>
        <v>#N/A</v>
      </c>
      <c r="N307" s="368" t="e">
        <f t="shared" si="48"/>
        <v>#N/A</v>
      </c>
      <c r="O307" s="368" t="e">
        <f t="shared" si="44"/>
        <v>#N/A</v>
      </c>
      <c r="P307" s="368" t="e">
        <f t="shared" si="45"/>
        <v>#N/A</v>
      </c>
      <c r="Q307" s="374" t="e">
        <f t="shared" si="46"/>
        <v>#N/A</v>
      </c>
      <c r="R307" s="57"/>
      <c r="S307" s="57"/>
      <c r="T307" s="57"/>
      <c r="U307" s="57"/>
      <c r="V307" s="57"/>
      <c r="W307" s="57"/>
      <c r="X307" s="57"/>
      <c r="Y307" s="57"/>
      <c r="Z307" s="57"/>
      <c r="AA307" s="57"/>
      <c r="AB307" s="57"/>
      <c r="AC307" s="57"/>
      <c r="AD307" s="361"/>
      <c r="AE307" s="57"/>
      <c r="AF307" s="57"/>
      <c r="AG307" s="57"/>
      <c r="AH307" s="57"/>
      <c r="AI307" s="57"/>
      <c r="AJ307" s="57"/>
      <c r="AK307" s="57"/>
      <c r="AL307" s="57"/>
      <c r="AM307" s="57"/>
      <c r="AP307" s="57"/>
      <c r="AQ307" s="57"/>
      <c r="AR307" s="57"/>
    </row>
    <row r="308" spans="1:44" ht="15" thickTop="1" x14ac:dyDescent="0.3">
      <c r="A308" s="62" t="str">
        <f>IF(Teams&gt;=64, "3", "Hide")</f>
        <v>Hide</v>
      </c>
      <c r="B308" s="387">
        <f>B202</f>
        <v>0</v>
      </c>
      <c r="C308" s="279" t="s">
        <v>220</v>
      </c>
      <c r="D308" s="280"/>
      <c r="E308" s="279" t="s">
        <v>221</v>
      </c>
      <c r="F308" s="76"/>
      <c r="G308" s="69" t="s">
        <v>49</v>
      </c>
      <c r="H308" s="28"/>
      <c r="I308" s="245"/>
      <c r="K308" s="366">
        <v>24</v>
      </c>
      <c r="L308" s="367" t="e">
        <f>MATCH(K308,'Ballot Entry'!$L$215:$L$249,0)</f>
        <v>#N/A</v>
      </c>
      <c r="M308" s="368" t="e">
        <f t="shared" si="43"/>
        <v>#N/A</v>
      </c>
      <c r="N308" s="368" t="e">
        <f t="shared" si="48"/>
        <v>#N/A</v>
      </c>
      <c r="O308" s="368" t="e">
        <f t="shared" si="44"/>
        <v>#N/A</v>
      </c>
      <c r="P308" s="368" t="e">
        <f t="shared" si="45"/>
        <v>#N/A</v>
      </c>
      <c r="Q308" s="374" t="e">
        <f t="shared" si="46"/>
        <v>#N/A</v>
      </c>
      <c r="R308" s="57"/>
      <c r="S308" s="57"/>
      <c r="T308" s="57"/>
      <c r="U308" s="57"/>
      <c r="V308" s="57"/>
      <c r="W308" s="57"/>
      <c r="X308" s="57"/>
      <c r="Y308" s="57"/>
      <c r="Z308" s="57"/>
      <c r="AA308" s="57"/>
      <c r="AB308" s="57"/>
      <c r="AC308" s="57"/>
      <c r="AD308" s="361"/>
      <c r="AE308" s="57"/>
      <c r="AF308" s="57"/>
      <c r="AG308" s="57"/>
      <c r="AH308" s="57"/>
      <c r="AI308" s="57"/>
      <c r="AJ308" s="57"/>
      <c r="AK308" s="57"/>
      <c r="AL308" s="57"/>
      <c r="AM308" s="57"/>
      <c r="AP308" s="57"/>
      <c r="AQ308" s="57"/>
      <c r="AR308" s="57"/>
    </row>
    <row r="309" spans="1:44" x14ac:dyDescent="0.2">
      <c r="A309" s="63" t="str">
        <f>IF(Teams&gt;=64, "3", "Hide")</f>
        <v>Hide</v>
      </c>
      <c r="B309" s="386"/>
      <c r="G309" s="68" t="s">
        <v>50</v>
      </c>
      <c r="H309" s="29"/>
      <c r="I309" s="246"/>
      <c r="K309" s="366">
        <v>25</v>
      </c>
      <c r="L309" s="367" t="e">
        <f>MATCH(K309,'Ballot Entry'!$L$215:$L$249,0)</f>
        <v>#N/A</v>
      </c>
      <c r="M309" s="368" t="e">
        <f t="shared" si="43"/>
        <v>#N/A</v>
      </c>
      <c r="N309" s="368" t="e">
        <f t="shared" si="48"/>
        <v>#N/A</v>
      </c>
      <c r="O309" s="368" t="e">
        <f t="shared" si="44"/>
        <v>#N/A</v>
      </c>
      <c r="P309" s="368" t="e">
        <f t="shared" si="45"/>
        <v>#N/A</v>
      </c>
      <c r="Q309" s="374" t="e">
        <f t="shared" si="46"/>
        <v>#N/A</v>
      </c>
      <c r="R309" s="57"/>
      <c r="S309" s="57"/>
      <c r="T309" s="57"/>
      <c r="U309" s="57"/>
      <c r="V309" s="57"/>
      <c r="W309" s="57"/>
      <c r="X309" s="57"/>
      <c r="Y309" s="57"/>
      <c r="Z309" s="57"/>
      <c r="AA309" s="57"/>
      <c r="AB309" s="57"/>
      <c r="AC309" s="57"/>
      <c r="AD309" s="361"/>
      <c r="AE309" s="57"/>
      <c r="AF309" s="57"/>
      <c r="AG309" s="57"/>
      <c r="AH309" s="57"/>
      <c r="AI309" s="57"/>
      <c r="AJ309" s="57"/>
      <c r="AK309" s="57"/>
      <c r="AL309" s="57"/>
      <c r="AM309" s="57"/>
      <c r="AP309" s="57"/>
      <c r="AQ309" s="57"/>
      <c r="AR309" s="57"/>
    </row>
    <row r="310" spans="1:44" ht="13.5" thickBot="1" x14ac:dyDescent="0.25">
      <c r="A310" s="64" t="str">
        <f>IF(Teams&gt;=64, IF(Ballots = 3, "3", "Hide"), "Hide")</f>
        <v>Hide</v>
      </c>
      <c r="B310" s="388"/>
      <c r="C310" s="281"/>
      <c r="D310" s="282"/>
      <c r="E310" s="282"/>
      <c r="F310" s="77"/>
      <c r="G310" s="70" t="s">
        <v>51</v>
      </c>
      <c r="H310" s="30"/>
      <c r="I310" s="247"/>
      <c r="K310" s="366">
        <v>26</v>
      </c>
      <c r="L310" s="367" t="e">
        <f>MATCH(K310,'Ballot Entry'!$L$215:$L$249,0)</f>
        <v>#N/A</v>
      </c>
      <c r="M310" s="368" t="e">
        <f t="shared" si="43"/>
        <v>#N/A</v>
      </c>
      <c r="N310" s="368" t="e">
        <f t="shared" si="48"/>
        <v>#N/A</v>
      </c>
      <c r="O310" s="368" t="e">
        <f t="shared" si="44"/>
        <v>#N/A</v>
      </c>
      <c r="P310" s="368" t="e">
        <f t="shared" si="45"/>
        <v>#N/A</v>
      </c>
      <c r="Q310" s="374" t="e">
        <f t="shared" si="46"/>
        <v>#N/A</v>
      </c>
      <c r="R310" s="57"/>
      <c r="S310" s="57"/>
      <c r="T310" s="57"/>
      <c r="U310" s="57"/>
      <c r="V310" s="57"/>
      <c r="W310" s="57"/>
      <c r="X310" s="57"/>
      <c r="Y310" s="57"/>
      <c r="Z310" s="57"/>
      <c r="AA310" s="57"/>
      <c r="AB310" s="57"/>
      <c r="AC310" s="57"/>
      <c r="AD310" s="361"/>
      <c r="AE310" s="57"/>
      <c r="AF310" s="57"/>
      <c r="AG310" s="57"/>
      <c r="AH310" s="57"/>
      <c r="AI310" s="57"/>
      <c r="AJ310" s="57"/>
      <c r="AK310" s="57"/>
      <c r="AL310" s="57"/>
      <c r="AM310" s="57"/>
      <c r="AP310" s="57"/>
      <c r="AQ310" s="57"/>
      <c r="AR310" s="57"/>
    </row>
    <row r="311" spans="1:44" ht="15" thickTop="1" x14ac:dyDescent="0.3">
      <c r="A311" s="60" t="str">
        <f>IF(Teams&gt;=66, "3", "Hide")</f>
        <v>Hide</v>
      </c>
      <c r="B311" s="384">
        <f>B205</f>
        <v>0</v>
      </c>
      <c r="C311" s="276" t="s">
        <v>220</v>
      </c>
      <c r="D311" s="384"/>
      <c r="E311" s="276" t="s">
        <v>221</v>
      </c>
      <c r="F311" s="74"/>
      <c r="G311" s="67" t="s">
        <v>49</v>
      </c>
      <c r="H311" s="25"/>
      <c r="I311" s="242"/>
      <c r="K311" s="366">
        <v>27</v>
      </c>
      <c r="L311" s="367" t="e">
        <f>MATCH(K311,'Ballot Entry'!$L$215:$L$249,0)</f>
        <v>#N/A</v>
      </c>
      <c r="M311" s="368" t="e">
        <f t="shared" si="43"/>
        <v>#N/A</v>
      </c>
      <c r="N311" s="368" t="e">
        <f t="shared" si="48"/>
        <v>#N/A</v>
      </c>
      <c r="O311" s="368" t="e">
        <f t="shared" si="44"/>
        <v>#N/A</v>
      </c>
      <c r="P311" s="368" t="e">
        <f t="shared" si="45"/>
        <v>#N/A</v>
      </c>
      <c r="Q311" s="374" t="e">
        <f t="shared" si="46"/>
        <v>#N/A</v>
      </c>
      <c r="R311" s="57"/>
      <c r="S311" s="57"/>
      <c r="T311" s="57"/>
      <c r="U311" s="57"/>
      <c r="V311" s="57"/>
      <c r="W311" s="57"/>
      <c r="X311" s="57"/>
      <c r="Y311" s="57"/>
      <c r="Z311" s="57"/>
      <c r="AA311" s="57"/>
      <c r="AB311" s="57"/>
      <c r="AC311" s="57"/>
      <c r="AD311" s="361"/>
      <c r="AE311" s="57"/>
      <c r="AF311" s="57"/>
      <c r="AG311" s="57"/>
      <c r="AH311" s="57"/>
      <c r="AI311" s="57"/>
      <c r="AJ311" s="57"/>
      <c r="AK311" s="57"/>
      <c r="AL311" s="57"/>
      <c r="AM311" s="57"/>
      <c r="AP311" s="57"/>
      <c r="AQ311" s="57"/>
      <c r="AR311" s="57"/>
    </row>
    <row r="312" spans="1:44" x14ac:dyDescent="0.2">
      <c r="A312" s="61" t="str">
        <f>IF(Teams&gt;=66, "3", "Hide")</f>
        <v>Hide</v>
      </c>
      <c r="G312" s="68" t="s">
        <v>50</v>
      </c>
      <c r="H312" s="26"/>
      <c r="I312" s="243"/>
      <c r="K312" s="366">
        <v>28</v>
      </c>
      <c r="L312" s="367" t="e">
        <f>MATCH(K312,'Ballot Entry'!$L$215:$L$249,0)</f>
        <v>#N/A</v>
      </c>
      <c r="M312" s="368" t="e">
        <f t="shared" si="43"/>
        <v>#N/A</v>
      </c>
      <c r="N312" s="368" t="e">
        <f t="shared" si="48"/>
        <v>#N/A</v>
      </c>
      <c r="O312" s="368" t="e">
        <f t="shared" si="44"/>
        <v>#N/A</v>
      </c>
      <c r="P312" s="368" t="e">
        <f t="shared" si="45"/>
        <v>#N/A</v>
      </c>
      <c r="Q312" s="374" t="e">
        <f t="shared" si="46"/>
        <v>#N/A</v>
      </c>
      <c r="R312" s="57"/>
      <c r="S312" s="57"/>
      <c r="T312" s="57"/>
      <c r="U312" s="57"/>
      <c r="V312" s="57"/>
      <c r="W312" s="57"/>
      <c r="X312" s="57"/>
      <c r="Y312" s="57"/>
      <c r="Z312" s="57"/>
      <c r="AA312" s="57"/>
      <c r="AB312" s="57"/>
      <c r="AC312" s="57"/>
      <c r="AD312" s="361"/>
      <c r="AE312" s="57"/>
      <c r="AF312" s="57"/>
      <c r="AG312" s="57"/>
      <c r="AH312" s="57"/>
      <c r="AI312" s="57"/>
      <c r="AJ312" s="57"/>
      <c r="AK312" s="57"/>
      <c r="AL312" s="57"/>
      <c r="AM312" s="57"/>
      <c r="AP312" s="57"/>
      <c r="AQ312" s="57"/>
      <c r="AR312" s="57"/>
    </row>
    <row r="313" spans="1:44" ht="13.5" thickBot="1" x14ac:dyDescent="0.25">
      <c r="A313" s="61" t="str">
        <f>IF(Teams&gt;=66, IF(Ballots = 3, "3", "Hide"), "Hide")</f>
        <v>Hide</v>
      </c>
      <c r="B313" s="386"/>
      <c r="C313" s="277"/>
      <c r="D313" s="278"/>
      <c r="E313" s="278"/>
      <c r="F313" s="75"/>
      <c r="G313" s="68" t="s">
        <v>51</v>
      </c>
      <c r="H313" s="27"/>
      <c r="I313" s="244"/>
      <c r="K313" s="366">
        <v>29</v>
      </c>
      <c r="L313" s="367" t="e">
        <f>MATCH(K313,'Ballot Entry'!$L$215:$L$249,0)</f>
        <v>#N/A</v>
      </c>
      <c r="M313" s="368" t="e">
        <f t="shared" si="43"/>
        <v>#N/A</v>
      </c>
      <c r="N313" s="368" t="e">
        <f t="shared" si="48"/>
        <v>#N/A</v>
      </c>
      <c r="O313" s="368" t="e">
        <f t="shared" si="44"/>
        <v>#N/A</v>
      </c>
      <c r="P313" s="368" t="e">
        <f t="shared" si="45"/>
        <v>#N/A</v>
      </c>
      <c r="Q313" s="374" t="e">
        <f t="shared" si="46"/>
        <v>#N/A</v>
      </c>
      <c r="R313" s="57"/>
      <c r="S313" s="57"/>
      <c r="T313" s="57"/>
      <c r="U313" s="57"/>
      <c r="V313" s="57"/>
      <c r="W313" s="57"/>
      <c r="X313" s="57"/>
      <c r="Y313" s="57"/>
      <c r="Z313" s="57"/>
      <c r="AA313" s="57"/>
      <c r="AB313" s="57"/>
      <c r="AC313" s="57"/>
      <c r="AD313" s="361"/>
      <c r="AE313" s="57"/>
      <c r="AF313" s="57"/>
      <c r="AG313" s="57"/>
      <c r="AH313" s="57"/>
      <c r="AI313" s="57"/>
      <c r="AJ313" s="57"/>
      <c r="AK313" s="57"/>
      <c r="AL313" s="57"/>
      <c r="AM313" s="57"/>
      <c r="AP313" s="57"/>
      <c r="AQ313" s="57"/>
      <c r="AR313" s="57"/>
    </row>
    <row r="314" spans="1:44" ht="15" thickTop="1" x14ac:dyDescent="0.3">
      <c r="A314" s="62" t="str">
        <f>IF(Teams&gt;=68, "3", "Hide")</f>
        <v>Hide</v>
      </c>
      <c r="B314" s="387">
        <f>B208</f>
        <v>0</v>
      </c>
      <c r="C314" s="279" t="s">
        <v>220</v>
      </c>
      <c r="D314" s="280"/>
      <c r="E314" s="279" t="s">
        <v>221</v>
      </c>
      <c r="F314" s="76"/>
      <c r="G314" s="69" t="s">
        <v>49</v>
      </c>
      <c r="H314" s="28"/>
      <c r="I314" s="245"/>
      <c r="K314" s="366">
        <v>30</v>
      </c>
      <c r="L314" s="367" t="e">
        <f>MATCH(K314,'Ballot Entry'!$L$215:$L$249,0)</f>
        <v>#N/A</v>
      </c>
      <c r="M314" s="368" t="e">
        <f t="shared" si="43"/>
        <v>#N/A</v>
      </c>
      <c r="N314" s="368" t="e">
        <f t="shared" si="48"/>
        <v>#N/A</v>
      </c>
      <c r="O314" s="368" t="e">
        <f t="shared" si="44"/>
        <v>#N/A</v>
      </c>
      <c r="P314" s="368" t="e">
        <f t="shared" si="45"/>
        <v>#N/A</v>
      </c>
      <c r="Q314" s="374" t="e">
        <f t="shared" si="46"/>
        <v>#N/A</v>
      </c>
      <c r="R314" s="57"/>
      <c r="S314" s="57"/>
      <c r="T314" s="57"/>
      <c r="U314" s="57"/>
      <c r="V314" s="57"/>
      <c r="W314" s="57"/>
      <c r="X314" s="57"/>
      <c r="Y314" s="57"/>
      <c r="Z314" s="57"/>
      <c r="AA314" s="57"/>
      <c r="AB314" s="57"/>
      <c r="AC314" s="57"/>
      <c r="AD314" s="361"/>
      <c r="AE314" s="57"/>
      <c r="AF314" s="57"/>
      <c r="AG314" s="57"/>
      <c r="AH314" s="57"/>
      <c r="AI314" s="57"/>
      <c r="AJ314" s="57"/>
      <c r="AK314" s="57"/>
      <c r="AL314" s="57"/>
      <c r="AM314" s="57"/>
      <c r="AP314" s="57"/>
      <c r="AQ314" s="57"/>
      <c r="AR314" s="57"/>
    </row>
    <row r="315" spans="1:44" x14ac:dyDescent="0.2">
      <c r="A315" s="63" t="str">
        <f>IF(Teams&gt;=68, "3", "Hide")</f>
        <v>Hide</v>
      </c>
      <c r="B315" s="386"/>
      <c r="G315" s="68" t="s">
        <v>50</v>
      </c>
      <c r="H315" s="29"/>
      <c r="I315" s="246"/>
      <c r="K315" s="366">
        <v>31</v>
      </c>
      <c r="L315" s="367" t="e">
        <f>MATCH(K315,'Ballot Entry'!$L$215:$L$249,0)</f>
        <v>#N/A</v>
      </c>
      <c r="M315" s="368" t="e">
        <f t="shared" si="43"/>
        <v>#N/A</v>
      </c>
      <c r="N315" s="368" t="e">
        <f t="shared" si="48"/>
        <v>#N/A</v>
      </c>
      <c r="O315" s="368" t="e">
        <f t="shared" si="44"/>
        <v>#N/A</v>
      </c>
      <c r="P315" s="368" t="e">
        <f t="shared" si="45"/>
        <v>#N/A</v>
      </c>
      <c r="Q315" s="374" t="e">
        <f t="shared" si="46"/>
        <v>#N/A</v>
      </c>
      <c r="R315" s="57"/>
      <c r="S315" s="57"/>
      <c r="T315" s="57"/>
      <c r="U315" s="57"/>
      <c r="V315" s="57"/>
      <c r="W315" s="57"/>
      <c r="X315" s="57"/>
      <c r="Y315" s="57"/>
      <c r="Z315" s="57"/>
      <c r="AA315" s="57"/>
      <c r="AB315" s="57"/>
      <c r="AC315" s="57"/>
      <c r="AD315" s="361"/>
      <c r="AE315" s="57"/>
      <c r="AF315" s="57"/>
      <c r="AG315" s="57"/>
      <c r="AH315" s="57"/>
      <c r="AI315" s="57"/>
      <c r="AJ315" s="57"/>
      <c r="AK315" s="57"/>
      <c r="AL315" s="57"/>
      <c r="AM315" s="57"/>
      <c r="AP315" s="57"/>
      <c r="AQ315" s="57"/>
      <c r="AR315" s="57"/>
    </row>
    <row r="316" spans="1:44" ht="13.5" thickBot="1" x14ac:dyDescent="0.25">
      <c r="A316" s="64" t="str">
        <f>IF(Teams&gt;=68, IF(Ballots = 3, "3", "Hide"), "Hide")</f>
        <v>Hide</v>
      </c>
      <c r="B316" s="388"/>
      <c r="C316" s="281"/>
      <c r="D316" s="282"/>
      <c r="E316" s="282"/>
      <c r="F316" s="77"/>
      <c r="G316" s="70" t="s">
        <v>51</v>
      </c>
      <c r="H316" s="30"/>
      <c r="I316" s="247"/>
      <c r="K316" s="366">
        <v>32</v>
      </c>
      <c r="L316" s="367" t="e">
        <f>MATCH(K316,'Ballot Entry'!$L$215:$L$249,0)</f>
        <v>#N/A</v>
      </c>
      <c r="M316" s="368" t="e">
        <f t="shared" si="43"/>
        <v>#N/A</v>
      </c>
      <c r="N316" s="368" t="e">
        <f t="shared" si="48"/>
        <v>#N/A</v>
      </c>
      <c r="O316" s="368" t="e">
        <f t="shared" si="44"/>
        <v>#N/A</v>
      </c>
      <c r="P316" s="368" t="e">
        <f t="shared" si="45"/>
        <v>#N/A</v>
      </c>
      <c r="Q316" s="374" t="e">
        <f t="shared" si="46"/>
        <v>#N/A</v>
      </c>
      <c r="R316" s="57"/>
      <c r="S316" s="57"/>
      <c r="T316" s="57"/>
      <c r="U316" s="57"/>
      <c r="V316" s="57"/>
      <c r="W316" s="57"/>
      <c r="X316" s="57"/>
      <c r="Y316" s="57"/>
      <c r="Z316" s="57"/>
      <c r="AA316" s="57"/>
      <c r="AB316" s="57"/>
      <c r="AC316" s="57"/>
      <c r="AD316" s="361"/>
      <c r="AE316" s="57"/>
      <c r="AF316" s="57"/>
      <c r="AG316" s="57"/>
      <c r="AH316" s="57"/>
      <c r="AI316" s="57"/>
      <c r="AJ316" s="57"/>
      <c r="AK316" s="57"/>
      <c r="AL316" s="57"/>
      <c r="AM316" s="57"/>
      <c r="AP316" s="57"/>
      <c r="AQ316" s="57"/>
      <c r="AR316" s="57"/>
    </row>
    <row r="317" spans="1:44" ht="15" thickTop="1" x14ac:dyDescent="0.3">
      <c r="A317" s="60" t="str">
        <f>IF(Teams&gt;=70, "3", "Hide")</f>
        <v>Hide</v>
      </c>
      <c r="B317" s="384">
        <f>B211</f>
        <v>0</v>
      </c>
      <c r="C317" s="276" t="s">
        <v>220</v>
      </c>
      <c r="D317" s="384"/>
      <c r="E317" s="276" t="s">
        <v>221</v>
      </c>
      <c r="F317" s="74"/>
      <c r="G317" s="67" t="s">
        <v>49</v>
      </c>
      <c r="H317" s="25"/>
      <c r="I317" s="242"/>
      <c r="K317" s="366">
        <v>33</v>
      </c>
      <c r="L317" s="367" t="e">
        <f>MATCH(K317,'Ballot Entry'!$L$215:$L$249,0)</f>
        <v>#N/A</v>
      </c>
      <c r="M317" s="368" t="e">
        <f t="shared" si="43"/>
        <v>#N/A</v>
      </c>
      <c r="N317" s="368" t="e">
        <f t="shared" si="48"/>
        <v>#N/A</v>
      </c>
      <c r="O317" s="368" t="e">
        <f t="shared" si="44"/>
        <v>#N/A</v>
      </c>
      <c r="P317" s="368" t="e">
        <f t="shared" si="45"/>
        <v>#N/A</v>
      </c>
      <c r="Q317" s="374" t="e">
        <f t="shared" si="46"/>
        <v>#N/A</v>
      </c>
      <c r="R317" s="57"/>
      <c r="S317" s="57"/>
      <c r="T317" s="57"/>
      <c r="U317" s="57"/>
      <c r="V317" s="57"/>
      <c r="W317" s="57"/>
      <c r="X317" s="57"/>
      <c r="Y317" s="57"/>
      <c r="Z317" s="57"/>
      <c r="AA317" s="57"/>
      <c r="AB317" s="57"/>
      <c r="AC317" s="57"/>
      <c r="AD317" s="361"/>
      <c r="AE317" s="57"/>
      <c r="AF317" s="57"/>
      <c r="AG317" s="57"/>
      <c r="AH317" s="57"/>
      <c r="AI317" s="57"/>
      <c r="AJ317" s="57"/>
      <c r="AK317" s="57"/>
      <c r="AL317" s="57"/>
      <c r="AM317" s="57"/>
      <c r="AP317" s="57"/>
      <c r="AQ317" s="57"/>
      <c r="AR317" s="57"/>
    </row>
    <row r="318" spans="1:44" x14ac:dyDescent="0.2">
      <c r="A318" s="61" t="str">
        <f>IF(Teams&gt;=70, "3", "Hide")</f>
        <v>Hide</v>
      </c>
      <c r="G318" s="68" t="s">
        <v>50</v>
      </c>
      <c r="H318" s="26"/>
      <c r="I318" s="243"/>
      <c r="K318" s="366">
        <v>34</v>
      </c>
      <c r="L318" s="367" t="e">
        <f>MATCH(K318,'Ballot Entry'!$L$215:$L$249,0)</f>
        <v>#N/A</v>
      </c>
      <c r="M318" s="368" t="e">
        <f t="shared" si="43"/>
        <v>#N/A</v>
      </c>
      <c r="N318" s="368" t="e">
        <f t="shared" si="48"/>
        <v>#N/A</v>
      </c>
      <c r="O318" s="368" t="e">
        <f t="shared" si="44"/>
        <v>#N/A</v>
      </c>
      <c r="P318" s="368" t="e">
        <f t="shared" si="45"/>
        <v>#N/A</v>
      </c>
      <c r="Q318" s="374" t="e">
        <f t="shared" si="46"/>
        <v>#N/A</v>
      </c>
      <c r="R318" s="57"/>
      <c r="S318" s="57"/>
      <c r="T318" s="57"/>
      <c r="U318" s="57"/>
      <c r="V318" s="57"/>
      <c r="W318" s="57"/>
      <c r="X318" s="57"/>
      <c r="Y318" s="57"/>
      <c r="Z318" s="57"/>
      <c r="AA318" s="57"/>
      <c r="AB318" s="57"/>
      <c r="AC318" s="57"/>
      <c r="AD318" s="361"/>
      <c r="AE318" s="57"/>
      <c r="AF318" s="57"/>
      <c r="AG318" s="57"/>
      <c r="AH318" s="57"/>
      <c r="AI318" s="57"/>
      <c r="AJ318" s="57"/>
      <c r="AK318" s="57"/>
      <c r="AL318" s="57"/>
      <c r="AM318" s="57"/>
      <c r="AP318" s="57"/>
      <c r="AQ318" s="57"/>
      <c r="AR318" s="57"/>
    </row>
    <row r="319" spans="1:44" ht="13.5" thickBot="1" x14ac:dyDescent="0.25">
      <c r="A319" s="61" t="str">
        <f>IF(Teams&gt;=70, IF(Ballots = 3, "3", "Hide"), "Hide")</f>
        <v>Hide</v>
      </c>
      <c r="B319" s="386"/>
      <c r="C319" s="277"/>
      <c r="D319" s="278"/>
      <c r="E319" s="278"/>
      <c r="F319" s="75"/>
      <c r="G319" s="68" t="s">
        <v>51</v>
      </c>
      <c r="H319" s="27"/>
      <c r="I319" s="244"/>
      <c r="K319" s="375">
        <v>35</v>
      </c>
      <c r="L319" s="376" t="e">
        <f>MATCH(K319,'Ballot Entry'!$L$215:$L$249,0)</f>
        <v>#N/A</v>
      </c>
      <c r="M319" s="377" t="e">
        <f t="shared" si="43"/>
        <v>#N/A</v>
      </c>
      <c r="N319" s="377" t="e">
        <f t="shared" si="48"/>
        <v>#N/A</v>
      </c>
      <c r="O319" s="377" t="e">
        <f t="shared" si="44"/>
        <v>#N/A</v>
      </c>
      <c r="P319" s="377" t="e">
        <f t="shared" si="45"/>
        <v>#N/A</v>
      </c>
      <c r="Q319" s="378" t="e">
        <f t="shared" si="46"/>
        <v>#N/A</v>
      </c>
      <c r="R319" s="57"/>
      <c r="S319" s="57"/>
      <c r="T319" s="57"/>
      <c r="U319" s="57"/>
      <c r="V319" s="57"/>
      <c r="W319" s="57"/>
      <c r="X319" s="57"/>
      <c r="Y319" s="57"/>
      <c r="Z319" s="57"/>
      <c r="AA319" s="57"/>
      <c r="AB319" s="57"/>
      <c r="AC319" s="57"/>
      <c r="AD319" s="361"/>
      <c r="AE319" s="57"/>
      <c r="AF319" s="57"/>
      <c r="AG319" s="57"/>
      <c r="AH319" s="57"/>
      <c r="AI319" s="57"/>
      <c r="AJ319" s="57"/>
      <c r="AK319" s="57"/>
      <c r="AL319" s="57"/>
      <c r="AM319" s="57"/>
      <c r="AP319" s="57"/>
      <c r="AQ319" s="57"/>
      <c r="AR319" s="57"/>
    </row>
    <row r="320" spans="1:44" s="56" customFormat="1" ht="14.25" thickTop="1" thickBot="1" x14ac:dyDescent="0.25">
      <c r="A320" s="65" t="s">
        <v>63</v>
      </c>
      <c r="B320" s="389"/>
      <c r="C320" s="283"/>
      <c r="D320" s="385"/>
      <c r="E320" s="284"/>
      <c r="F320" s="78"/>
      <c r="G320" s="65"/>
      <c r="H320" s="79"/>
      <c r="I320" s="248"/>
      <c r="K320" s="366"/>
      <c r="L320" s="379"/>
      <c r="M320" s="379"/>
      <c r="N320" s="379"/>
      <c r="O320" s="379"/>
      <c r="P320" s="379"/>
      <c r="Q320" s="379"/>
      <c r="R320" s="57"/>
      <c r="S320" s="57"/>
      <c r="T320" s="57"/>
      <c r="U320" s="57"/>
      <c r="V320" s="57"/>
      <c r="W320" s="57"/>
      <c r="X320" s="57"/>
      <c r="Y320" s="57"/>
      <c r="Z320" s="57"/>
      <c r="AA320" s="57"/>
      <c r="AB320" s="57"/>
      <c r="AC320" s="57"/>
      <c r="AD320" s="361"/>
      <c r="AE320" s="57"/>
      <c r="AF320" s="57"/>
      <c r="AG320" s="57"/>
      <c r="AH320" s="57"/>
      <c r="AI320" s="57"/>
      <c r="AJ320" s="57"/>
      <c r="AK320" s="57"/>
      <c r="AL320" s="57"/>
      <c r="AM320" s="57"/>
      <c r="AP320" s="57"/>
      <c r="AQ320" s="57"/>
      <c r="AR320" s="57"/>
    </row>
    <row r="321" spans="1:44" ht="15" thickTop="1" x14ac:dyDescent="0.3">
      <c r="A321" s="60" t="str">
        <f>IF(Teams&gt;=2, "4", "Hide")</f>
        <v>4</v>
      </c>
      <c r="B321" s="384">
        <f>B215</f>
        <v>501</v>
      </c>
      <c r="C321" s="276" t="s">
        <v>220</v>
      </c>
      <c r="D321" s="384">
        <v>1506</v>
      </c>
      <c r="E321" s="276" t="s">
        <v>221</v>
      </c>
      <c r="F321" s="74">
        <v>1001</v>
      </c>
      <c r="G321" s="67" t="s">
        <v>49</v>
      </c>
      <c r="H321" s="25" t="s">
        <v>33</v>
      </c>
      <c r="I321" s="242">
        <v>10</v>
      </c>
      <c r="K321" s="370">
        <f>RANK(M321,'Ballot Entry'!$M$321:$M$355,1)</f>
        <v>7</v>
      </c>
      <c r="L321" s="371">
        <f>RANK(N321,'Ballot Entry'!$N$321:$N$355,1)</f>
        <v>1</v>
      </c>
      <c r="M321" s="372">
        <f>IF(ISBLANK('Ballot Entry'!D321),9999,'Ballot Entry'!D321)</f>
        <v>1506</v>
      </c>
      <c r="N321" s="372">
        <f>IF(ISBLANK('Ballot Entry'!F321),9999,'Ballot Entry'!F321)</f>
        <v>1001</v>
      </c>
      <c r="O321" s="372">
        <f>IF('Ballot Entry'!H321="p",'Ballot Entry'!I321,'Ballot Entry'!I321*-1)</f>
        <v>10</v>
      </c>
      <c r="P321" s="372">
        <f>IF('Ballot Entry'!H322="p",'Ballot Entry'!I322,'Ballot Entry'!I322*-1)</f>
        <v>1</v>
      </c>
      <c r="Q321" s="373">
        <f>IF('Ballot Entry'!H323="p",'Ballot Entry'!I323,'Ballot Entry'!I323*-1)</f>
        <v>0</v>
      </c>
      <c r="R321" s="57"/>
      <c r="AP321" s="57"/>
      <c r="AQ321" s="57"/>
      <c r="AR321" s="57"/>
    </row>
    <row r="322" spans="1:44" x14ac:dyDescent="0.2">
      <c r="A322" s="61" t="str">
        <f>IF(Teams&gt;=2, "4", "Hide")</f>
        <v>4</v>
      </c>
      <c r="G322" s="68" t="s">
        <v>50</v>
      </c>
      <c r="H322" s="26" t="s">
        <v>33</v>
      </c>
      <c r="I322" s="243">
        <v>1</v>
      </c>
      <c r="K322" s="366">
        <f>RANK(M322,'Ballot Entry'!$M$321:$M$355,1)</f>
        <v>5</v>
      </c>
      <c r="L322" s="367">
        <f>RANK(N322,'Ballot Entry'!$N$321:$N$355,1)</f>
        <v>6</v>
      </c>
      <c r="M322" s="368">
        <f>IF(ISBLANK('Ballot Entry'!D324),9999,'Ballot Entry'!D324)</f>
        <v>1410</v>
      </c>
      <c r="N322" s="368">
        <f>IF(ISBLANK('Ballot Entry'!F324),9999,'Ballot Entry'!F324)</f>
        <v>1489</v>
      </c>
      <c r="O322" s="368">
        <f>IF('Ballot Entry'!H324="p",'Ballot Entry'!I324,'Ballot Entry'!I324*-1)</f>
        <v>20</v>
      </c>
      <c r="P322" s="368">
        <f>IF('Ballot Entry'!H325="p",'Ballot Entry'!I325,'Ballot Entry'!I325*-1)</f>
        <v>2</v>
      </c>
      <c r="Q322" s="374">
        <f>IF('Ballot Entry'!H326="p",'Ballot Entry'!I326,'Ballot Entry'!I326*-1)</f>
        <v>0</v>
      </c>
      <c r="R322" s="57"/>
      <c r="AP322" s="57"/>
      <c r="AQ322" s="57"/>
      <c r="AR322" s="57"/>
    </row>
    <row r="323" spans="1:44" ht="13.5" thickBot="1" x14ac:dyDescent="0.25">
      <c r="A323" s="61" t="str">
        <f>IF(Teams&gt;=2, IF(Ballots = 3, "4", "Hide"), "Hide")</f>
        <v>Hide</v>
      </c>
      <c r="B323" s="386"/>
      <c r="C323" s="277"/>
      <c r="D323" s="278"/>
      <c r="E323" s="278"/>
      <c r="F323" s="75"/>
      <c r="G323" s="68" t="s">
        <v>51</v>
      </c>
      <c r="H323" s="27"/>
      <c r="I323" s="244"/>
      <c r="K323" s="366">
        <f>RANK(M323,'Ballot Entry'!$M$321:$M$355,1)</f>
        <v>9</v>
      </c>
      <c r="L323" s="367">
        <f>RANK(N323,'Ballot Entry'!$N$321:$N$355,1)</f>
        <v>7</v>
      </c>
      <c r="M323" s="368">
        <f>IF(ISBLANK('Ballot Entry'!D327),9999,'Ballot Entry'!D327)</f>
        <v>1577</v>
      </c>
      <c r="N323" s="368">
        <f>IF(ISBLANK('Ballot Entry'!F327),9999,'Ballot Entry'!F327)</f>
        <v>1517</v>
      </c>
      <c r="O323" s="368">
        <f>IF('Ballot Entry'!H327="p",'Ballot Entry'!I327,'Ballot Entry'!I327*-1)</f>
        <v>10</v>
      </c>
      <c r="P323" s="368">
        <f>IF('Ballot Entry'!H328="p",'Ballot Entry'!I328,'Ballot Entry'!I328*-1)</f>
        <v>4</v>
      </c>
      <c r="Q323" s="374">
        <f>IF('Ballot Entry'!H329="p",'Ballot Entry'!I329,'Ballot Entry'!I329*-1)</f>
        <v>0</v>
      </c>
      <c r="R323" s="57"/>
      <c r="AP323" s="57"/>
      <c r="AQ323" s="57"/>
      <c r="AR323" s="57"/>
    </row>
    <row r="324" spans="1:44" ht="15" thickTop="1" x14ac:dyDescent="0.3">
      <c r="A324" s="62" t="str">
        <f>IF(Teams&gt;=4, "4", "Hide")</f>
        <v>4</v>
      </c>
      <c r="B324" s="387">
        <f>B218</f>
        <v>502</v>
      </c>
      <c r="C324" s="279" t="s">
        <v>220</v>
      </c>
      <c r="D324" s="280">
        <v>1410</v>
      </c>
      <c r="E324" s="279" t="s">
        <v>221</v>
      </c>
      <c r="F324" s="76">
        <v>1489</v>
      </c>
      <c r="G324" s="69" t="s">
        <v>49</v>
      </c>
      <c r="H324" s="28" t="s">
        <v>33</v>
      </c>
      <c r="I324" s="245">
        <v>20</v>
      </c>
      <c r="K324" s="366">
        <f>RANK(M324,'Ballot Entry'!$M$321:$M$355,1)</f>
        <v>1</v>
      </c>
      <c r="L324" s="367">
        <f>RANK(N324,'Ballot Entry'!$N$321:$N$355,1)</f>
        <v>8</v>
      </c>
      <c r="M324" s="368">
        <f>IF(ISBLANK('Ballot Entry'!D330),9999,'Ballot Entry'!D330)</f>
        <v>1029</v>
      </c>
      <c r="N324" s="368">
        <f>IF(ISBLANK('Ballot Entry'!F330),9999,'Ballot Entry'!F330)</f>
        <v>1616</v>
      </c>
      <c r="O324" s="368">
        <f>IF('Ballot Entry'!H330="p",'Ballot Entry'!I330,'Ballot Entry'!I330*-1)</f>
        <v>-6</v>
      </c>
      <c r="P324" s="368">
        <f>IF('Ballot Entry'!H331="p",'Ballot Entry'!I331,'Ballot Entry'!I331*-1)</f>
        <v>-3</v>
      </c>
      <c r="Q324" s="374">
        <f>IF('Ballot Entry'!H332="p",'Ballot Entry'!I332,'Ballot Entry'!I332*-1)</f>
        <v>0</v>
      </c>
      <c r="R324" s="57"/>
      <c r="S324" s="57"/>
      <c r="T324" s="57"/>
      <c r="U324" s="57"/>
      <c r="V324" s="57"/>
      <c r="W324" s="57"/>
      <c r="X324" s="57"/>
      <c r="Y324" s="57"/>
      <c r="Z324" s="57"/>
      <c r="AA324" s="57"/>
      <c r="AB324" s="57"/>
      <c r="AC324" s="57"/>
      <c r="AD324" s="361"/>
      <c r="AE324" s="57"/>
      <c r="AF324" s="57"/>
      <c r="AG324" s="57"/>
      <c r="AH324" s="57"/>
      <c r="AI324" s="57"/>
      <c r="AJ324" s="57"/>
      <c r="AK324" s="57"/>
      <c r="AL324" s="57"/>
      <c r="AM324" s="57"/>
      <c r="AP324" s="57"/>
      <c r="AQ324" s="57"/>
      <c r="AR324" s="57"/>
    </row>
    <row r="325" spans="1:44" x14ac:dyDescent="0.2">
      <c r="A325" s="63" t="str">
        <f>IF(Teams&gt;=4, "4", "Hide")</f>
        <v>4</v>
      </c>
      <c r="B325" s="386"/>
      <c r="G325" s="68" t="s">
        <v>50</v>
      </c>
      <c r="H325" s="29" t="s">
        <v>33</v>
      </c>
      <c r="I325" s="246">
        <v>2</v>
      </c>
      <c r="K325" s="366">
        <f>RANK(M325,'Ballot Entry'!$M$321:$M$355,1)</f>
        <v>2</v>
      </c>
      <c r="L325" s="367">
        <f>RANK(N325,'Ballot Entry'!$N$321:$N$355,1)</f>
        <v>2</v>
      </c>
      <c r="M325" s="368">
        <f>IF(ISBLANK('Ballot Entry'!D333),9999,'Ballot Entry'!D333)</f>
        <v>1051</v>
      </c>
      <c r="N325" s="368">
        <f>IF(ISBLANK('Ballot Entry'!F333),9999,'Ballot Entry'!F333)</f>
        <v>1217</v>
      </c>
      <c r="O325" s="368">
        <f>IF('Ballot Entry'!H333="p",'Ballot Entry'!I333,'Ballot Entry'!I333*-1)</f>
        <v>-16</v>
      </c>
      <c r="P325" s="368">
        <f>IF('Ballot Entry'!H334="p",'Ballot Entry'!I334,'Ballot Entry'!I334*-1)</f>
        <v>-2</v>
      </c>
      <c r="Q325" s="374">
        <f>IF('Ballot Entry'!H335="p",'Ballot Entry'!I335,'Ballot Entry'!I335*-1)</f>
        <v>0</v>
      </c>
      <c r="R325" s="57"/>
      <c r="S325" s="57"/>
      <c r="T325" s="57"/>
      <c r="U325" s="57"/>
      <c r="V325" s="57"/>
      <c r="W325" s="57"/>
      <c r="X325" s="57"/>
      <c r="Y325" s="57"/>
      <c r="Z325" s="57"/>
      <c r="AA325" s="57"/>
      <c r="AB325" s="57"/>
      <c r="AC325" s="57"/>
      <c r="AD325" s="361"/>
      <c r="AE325" s="57"/>
      <c r="AF325" s="57"/>
      <c r="AG325" s="57"/>
      <c r="AH325" s="57"/>
      <c r="AI325" s="57"/>
      <c r="AJ325" s="57"/>
      <c r="AK325" s="57"/>
      <c r="AL325" s="57"/>
      <c r="AM325" s="57"/>
      <c r="AP325" s="57"/>
      <c r="AQ325" s="57"/>
      <c r="AR325" s="57"/>
    </row>
    <row r="326" spans="1:44" ht="13.5" thickBot="1" x14ac:dyDescent="0.25">
      <c r="A326" s="64" t="str">
        <f>IF(Teams&gt;=4, IF(Ballots = 3, "4", "Hide"), "Hide")</f>
        <v>Hide</v>
      </c>
      <c r="B326" s="388"/>
      <c r="C326" s="281"/>
      <c r="D326" s="282"/>
      <c r="E326" s="282"/>
      <c r="F326" s="77"/>
      <c r="G326" s="70" t="s">
        <v>51</v>
      </c>
      <c r="H326" s="30"/>
      <c r="I326" s="247"/>
      <c r="K326" s="366">
        <f>RANK(M326,'Ballot Entry'!$M$321:$M$355,1)</f>
        <v>6</v>
      </c>
      <c r="L326" s="367">
        <f>RANK(N326,'Ballot Entry'!$N$321:$N$355,1)</f>
        <v>3</v>
      </c>
      <c r="M326" s="368">
        <f>IF(ISBLANK('Ballot Entry'!D336),9999,'Ballot Entry'!D336)</f>
        <v>1492</v>
      </c>
      <c r="N326" s="368">
        <f>IF(ISBLANK('Ballot Entry'!F336),9999,'Ballot Entry'!F336)</f>
        <v>1258</v>
      </c>
      <c r="O326" s="368">
        <f>IF('Ballot Entry'!H336="p",'Ballot Entry'!I336,'Ballot Entry'!I336*-1)</f>
        <v>-18</v>
      </c>
      <c r="P326" s="368">
        <f>IF('Ballot Entry'!H337="p",'Ballot Entry'!I337,'Ballot Entry'!I337*-1)</f>
        <v>4</v>
      </c>
      <c r="Q326" s="374">
        <f>IF('Ballot Entry'!H338="p",'Ballot Entry'!I338,'Ballot Entry'!I338*-1)</f>
        <v>0</v>
      </c>
      <c r="R326" s="57"/>
      <c r="S326" s="57"/>
      <c r="T326" s="57"/>
      <c r="U326" s="57"/>
      <c r="V326" s="57"/>
      <c r="W326" s="57"/>
      <c r="X326" s="57"/>
      <c r="Y326" s="57"/>
      <c r="Z326" s="57"/>
      <c r="AA326" s="57"/>
      <c r="AB326" s="57"/>
      <c r="AC326" s="57"/>
      <c r="AD326" s="361"/>
      <c r="AE326" s="57"/>
      <c r="AF326" s="57"/>
      <c r="AG326" s="57"/>
      <c r="AH326" s="57"/>
      <c r="AI326" s="57"/>
      <c r="AJ326" s="57"/>
      <c r="AK326" s="57"/>
      <c r="AL326" s="57"/>
      <c r="AM326" s="57"/>
      <c r="AP326" s="57"/>
      <c r="AQ326" s="57"/>
      <c r="AR326" s="57"/>
    </row>
    <row r="327" spans="1:44" ht="15" thickTop="1" x14ac:dyDescent="0.3">
      <c r="A327" s="60" t="str">
        <f>IF(Teams&gt;=6, "4", "Hide")</f>
        <v>4</v>
      </c>
      <c r="B327" s="384">
        <f>B221</f>
        <v>503</v>
      </c>
      <c r="C327" s="276" t="s">
        <v>220</v>
      </c>
      <c r="D327" s="384">
        <v>1577</v>
      </c>
      <c r="E327" s="276" t="s">
        <v>221</v>
      </c>
      <c r="F327" s="74">
        <v>1517</v>
      </c>
      <c r="G327" s="67" t="s">
        <v>49</v>
      </c>
      <c r="H327" s="25" t="s">
        <v>33</v>
      </c>
      <c r="I327" s="242">
        <v>10</v>
      </c>
      <c r="K327" s="366">
        <f>RANK(M327,'Ballot Entry'!$M$321:$M$355,1)</f>
        <v>3</v>
      </c>
      <c r="L327" s="367">
        <f>RANK(N327,'Ballot Entry'!$N$321:$N$355,1)</f>
        <v>4</v>
      </c>
      <c r="M327" s="368">
        <f>IF(ISBLANK('Ballot Entry'!D339),9999,'Ballot Entry'!D339)</f>
        <v>1078</v>
      </c>
      <c r="N327" s="368">
        <f>IF(ISBLANK('Ballot Entry'!F339),9999,'Ballot Entry'!F339)</f>
        <v>1262</v>
      </c>
      <c r="O327" s="368">
        <f>IF('Ballot Entry'!H339="p",'Ballot Entry'!I339,'Ballot Entry'!I339*-1)</f>
        <v>-2</v>
      </c>
      <c r="P327" s="368">
        <f>IF('Ballot Entry'!H340="p",'Ballot Entry'!I340,'Ballot Entry'!I340*-1)</f>
        <v>2</v>
      </c>
      <c r="Q327" s="374">
        <f>IF('Ballot Entry'!H341="p",'Ballot Entry'!I341,'Ballot Entry'!I341*-1)</f>
        <v>0</v>
      </c>
      <c r="R327" s="57"/>
      <c r="S327" s="57"/>
      <c r="T327" s="57"/>
      <c r="U327" s="57"/>
      <c r="V327" s="57"/>
      <c r="W327" s="57"/>
      <c r="X327" s="57"/>
      <c r="Y327" s="57"/>
      <c r="Z327" s="57"/>
      <c r="AA327" s="57"/>
      <c r="AB327" s="57"/>
      <c r="AC327" s="57"/>
      <c r="AD327" s="361"/>
      <c r="AE327" s="57"/>
      <c r="AF327" s="57"/>
      <c r="AG327" s="57"/>
      <c r="AH327" s="57"/>
      <c r="AI327" s="57"/>
      <c r="AJ327" s="57"/>
      <c r="AK327" s="57"/>
      <c r="AL327" s="57"/>
      <c r="AM327" s="57"/>
      <c r="AP327" s="57"/>
      <c r="AQ327" s="57"/>
      <c r="AR327" s="57"/>
    </row>
    <row r="328" spans="1:44" x14ac:dyDescent="0.2">
      <c r="A328" s="61" t="str">
        <f>IF(Teams&gt;=6, "4", "Hide")</f>
        <v>4</v>
      </c>
      <c r="G328" s="68" t="s">
        <v>50</v>
      </c>
      <c r="H328" s="26" t="s">
        <v>33</v>
      </c>
      <c r="I328" s="243">
        <v>4</v>
      </c>
      <c r="K328" s="366">
        <f>RANK(M328,'Ballot Entry'!$M$321:$M$355,1)</f>
        <v>4</v>
      </c>
      <c r="L328" s="367">
        <f>RANK(N328,'Ballot Entry'!$N$321:$N$355,1)</f>
        <v>9</v>
      </c>
      <c r="M328" s="368">
        <f>IF(ISBLANK('Ballot Entry'!D342),9999,'Ballot Entry'!D342)</f>
        <v>1224</v>
      </c>
      <c r="N328" s="368">
        <f>IF(ISBLANK('Ballot Entry'!F342),9999,'Ballot Entry'!F342)</f>
        <v>1693</v>
      </c>
      <c r="O328" s="368">
        <f>IF('Ballot Entry'!H342="p",'Ballot Entry'!I342,'Ballot Entry'!I342*-1)</f>
        <v>1</v>
      </c>
      <c r="P328" s="368">
        <f>IF('Ballot Entry'!H343="p",'Ballot Entry'!I343,'Ballot Entry'!I343*-1)</f>
        <v>6</v>
      </c>
      <c r="Q328" s="374">
        <f>IF('Ballot Entry'!H344="p",'Ballot Entry'!I344,'Ballot Entry'!I344*-1)</f>
        <v>0</v>
      </c>
      <c r="R328" s="57"/>
      <c r="S328" s="57"/>
      <c r="T328" s="57"/>
      <c r="U328" s="57"/>
      <c r="V328" s="57"/>
      <c r="W328" s="57"/>
      <c r="X328" s="57"/>
      <c r="Y328" s="57"/>
      <c r="Z328" s="57"/>
      <c r="AA328" s="57"/>
      <c r="AB328" s="57"/>
      <c r="AC328" s="57"/>
      <c r="AD328" s="361"/>
      <c r="AE328" s="57"/>
      <c r="AF328" s="57"/>
      <c r="AG328" s="57"/>
      <c r="AH328" s="57"/>
      <c r="AI328" s="57"/>
      <c r="AJ328" s="57"/>
      <c r="AK328" s="57"/>
      <c r="AL328" s="57"/>
      <c r="AM328" s="57"/>
      <c r="AP328" s="57"/>
      <c r="AQ328" s="57"/>
      <c r="AR328" s="57"/>
    </row>
    <row r="329" spans="1:44" ht="13.5" thickBot="1" x14ac:dyDescent="0.25">
      <c r="A329" s="61" t="str">
        <f>IF(Teams&gt;=6, IF(Ballots = 3, "4", "Hide"), "Hide")</f>
        <v>Hide</v>
      </c>
      <c r="B329" s="386"/>
      <c r="C329" s="277"/>
      <c r="D329" s="278"/>
      <c r="E329" s="278"/>
      <c r="F329" s="75"/>
      <c r="G329" s="68" t="s">
        <v>51</v>
      </c>
      <c r="H329" s="27"/>
      <c r="I329" s="244"/>
      <c r="K329" s="366">
        <f>RANK(M329,'Ballot Entry'!$M$321:$M$355,1)</f>
        <v>8</v>
      </c>
      <c r="L329" s="367">
        <f>RANK(N329,'Ballot Entry'!$N$321:$N$355,1)</f>
        <v>5</v>
      </c>
      <c r="M329" s="368">
        <f>IF(ISBLANK('Ballot Entry'!D345),9999,'Ballot Entry'!D345)</f>
        <v>1557</v>
      </c>
      <c r="N329" s="368">
        <f>IF(ISBLANK('Ballot Entry'!F345),9999,'Ballot Entry'!F345)</f>
        <v>1268</v>
      </c>
      <c r="O329" s="368">
        <f>IF('Ballot Entry'!H345="p",'Ballot Entry'!I345,'Ballot Entry'!I345*-1)</f>
        <v>-6</v>
      </c>
      <c r="P329" s="368">
        <f>IF('Ballot Entry'!H346="p",'Ballot Entry'!I346,'Ballot Entry'!I346*-1)</f>
        <v>-16</v>
      </c>
      <c r="Q329" s="374">
        <f>IF('Ballot Entry'!H347="p",'Ballot Entry'!I347,'Ballot Entry'!I347*-1)</f>
        <v>0</v>
      </c>
      <c r="R329" s="57"/>
      <c r="S329" s="57"/>
      <c r="T329" s="57"/>
      <c r="U329" s="57"/>
      <c r="V329" s="57"/>
      <c r="W329" s="57"/>
      <c r="X329" s="57"/>
      <c r="Y329" s="57"/>
      <c r="Z329" s="57"/>
      <c r="AA329" s="57"/>
      <c r="AB329" s="57"/>
      <c r="AC329" s="57"/>
      <c r="AD329" s="361"/>
      <c r="AE329" s="57"/>
      <c r="AF329" s="57"/>
      <c r="AG329" s="57"/>
      <c r="AH329" s="57"/>
      <c r="AI329" s="57"/>
      <c r="AJ329" s="57"/>
      <c r="AK329" s="57"/>
      <c r="AL329" s="57"/>
      <c r="AM329" s="57"/>
      <c r="AP329" s="57"/>
      <c r="AQ329" s="57"/>
      <c r="AR329" s="57"/>
    </row>
    <row r="330" spans="1:44" ht="15" thickTop="1" x14ac:dyDescent="0.3">
      <c r="A330" s="62" t="str">
        <f>IF(Teams&gt;=8, "4", "Hide")</f>
        <v>4</v>
      </c>
      <c r="B330" s="387">
        <f>B224</f>
        <v>504</v>
      </c>
      <c r="C330" s="279" t="s">
        <v>220</v>
      </c>
      <c r="D330" s="280">
        <v>1029</v>
      </c>
      <c r="E330" s="279" t="s">
        <v>221</v>
      </c>
      <c r="F330" s="76">
        <v>1616</v>
      </c>
      <c r="G330" s="69" t="s">
        <v>49</v>
      </c>
      <c r="H330" s="28" t="s">
        <v>47</v>
      </c>
      <c r="I330" s="245">
        <v>6</v>
      </c>
      <c r="K330" s="366">
        <f>RANK(M330,'Ballot Entry'!$M$321:$M$355,1)</f>
        <v>10</v>
      </c>
      <c r="L330" s="367">
        <f>RANK(N330,'Ballot Entry'!$N$321:$N$355,1)</f>
        <v>10</v>
      </c>
      <c r="M330" s="368">
        <f>IF(ISBLANK('Ballot Entry'!D348),9999,'Ballot Entry'!D348)</f>
        <v>9999</v>
      </c>
      <c r="N330" s="368">
        <f>IF(ISBLANK('Ballot Entry'!F348),9999,'Ballot Entry'!F348)</f>
        <v>9999</v>
      </c>
      <c r="O330" s="368">
        <f>IF('Ballot Entry'!H348="p",'Ballot Entry'!I348,'Ballot Entry'!I348*-1)</f>
        <v>0</v>
      </c>
      <c r="P330" s="368">
        <f>IF('Ballot Entry'!H349="p",'Ballot Entry'!I349,'Ballot Entry'!I349*-1)</f>
        <v>0</v>
      </c>
      <c r="Q330" s="374">
        <f>IF('Ballot Entry'!H350="p",'Ballot Entry'!I350,'Ballot Entry'!I350*-1)</f>
        <v>0</v>
      </c>
      <c r="R330" s="57"/>
      <c r="S330" s="57"/>
      <c r="T330" s="57"/>
      <c r="U330" s="57"/>
      <c r="V330" s="57"/>
      <c r="W330" s="57"/>
      <c r="X330" s="57"/>
      <c r="Y330" s="57"/>
      <c r="Z330" s="57"/>
      <c r="AA330" s="57"/>
      <c r="AB330" s="57"/>
      <c r="AC330" s="57"/>
      <c r="AD330" s="361"/>
      <c r="AE330" s="57"/>
      <c r="AF330" s="57"/>
      <c r="AG330" s="57"/>
      <c r="AH330" s="57"/>
      <c r="AI330" s="57"/>
      <c r="AJ330" s="57"/>
      <c r="AK330" s="57"/>
      <c r="AL330" s="57"/>
      <c r="AM330" s="57"/>
      <c r="AP330" s="57"/>
      <c r="AQ330" s="57"/>
      <c r="AR330" s="57"/>
    </row>
    <row r="331" spans="1:44" x14ac:dyDescent="0.2">
      <c r="A331" s="63" t="str">
        <f>IF(Teams&gt;=8, "4", "Hide")</f>
        <v>4</v>
      </c>
      <c r="B331" s="386"/>
      <c r="G331" s="68" t="s">
        <v>50</v>
      </c>
      <c r="H331" s="29" t="s">
        <v>47</v>
      </c>
      <c r="I331" s="246">
        <v>3</v>
      </c>
      <c r="K331" s="366">
        <f>RANK(M331,'Ballot Entry'!$M$321:$M$355,1)</f>
        <v>10</v>
      </c>
      <c r="L331" s="367">
        <f>RANK(N331,'Ballot Entry'!$N$321:$N$355,1)</f>
        <v>10</v>
      </c>
      <c r="M331" s="368">
        <f>IF(ISBLANK('Ballot Entry'!D351),9999,'Ballot Entry'!D351)</f>
        <v>9999</v>
      </c>
      <c r="N331" s="368">
        <f>IF(ISBLANK('Ballot Entry'!F351),9999,'Ballot Entry'!F351)</f>
        <v>9999</v>
      </c>
      <c r="O331" s="368">
        <f>IF('Ballot Entry'!H351="p",'Ballot Entry'!I351,'Ballot Entry'!I351*-1)</f>
        <v>0</v>
      </c>
      <c r="P331" s="368">
        <f>IF('Ballot Entry'!H352="p",'Ballot Entry'!I352,'Ballot Entry'!I352*-1)</f>
        <v>0</v>
      </c>
      <c r="Q331" s="374">
        <f>IF('Ballot Entry'!H353="p",'Ballot Entry'!I353,'Ballot Entry'!I353*-1)</f>
        <v>0</v>
      </c>
      <c r="R331" s="57"/>
      <c r="S331" s="57"/>
      <c r="T331" s="57"/>
      <c r="U331" s="57"/>
      <c r="V331" s="57"/>
      <c r="W331" s="57"/>
      <c r="X331" s="57"/>
      <c r="Y331" s="57"/>
      <c r="Z331" s="57"/>
      <c r="AA331" s="57"/>
      <c r="AB331" s="57"/>
      <c r="AC331" s="57"/>
      <c r="AD331" s="361"/>
      <c r="AE331" s="57"/>
      <c r="AF331" s="57"/>
      <c r="AG331" s="57"/>
      <c r="AH331" s="57"/>
      <c r="AI331" s="57"/>
      <c r="AJ331" s="57"/>
      <c r="AK331" s="57"/>
      <c r="AL331" s="57"/>
      <c r="AM331" s="57"/>
      <c r="AP331" s="57"/>
      <c r="AQ331" s="57"/>
      <c r="AR331" s="57"/>
    </row>
    <row r="332" spans="1:44" ht="13.5" thickBot="1" x14ac:dyDescent="0.25">
      <c r="A332" s="64" t="str">
        <f>IF(Teams&gt;=8, IF(Ballots = 3, "4", "Hide"), "Hide")</f>
        <v>Hide</v>
      </c>
      <c r="B332" s="388"/>
      <c r="C332" s="281"/>
      <c r="D332" s="282"/>
      <c r="E332" s="282"/>
      <c r="F332" s="77"/>
      <c r="G332" s="70" t="s">
        <v>51</v>
      </c>
      <c r="H332" s="30"/>
      <c r="I332" s="247"/>
      <c r="K332" s="366">
        <f>RANK(M332,'Ballot Entry'!$M$321:$M$355,1)</f>
        <v>10</v>
      </c>
      <c r="L332" s="367">
        <f>RANK(N332,'Ballot Entry'!$N$321:$N$355,1)</f>
        <v>10</v>
      </c>
      <c r="M332" s="368">
        <f>IF(ISBLANK('Ballot Entry'!D354),9999,'Ballot Entry'!D354)</f>
        <v>9999</v>
      </c>
      <c r="N332" s="368">
        <f>IF(ISBLANK('Ballot Entry'!F354),9999,'Ballot Entry'!F354)</f>
        <v>9999</v>
      </c>
      <c r="O332" s="368">
        <f>IF('Ballot Entry'!H354="p",'Ballot Entry'!I354,'Ballot Entry'!I354*-1)</f>
        <v>0</v>
      </c>
      <c r="P332" s="368">
        <f>IF('Ballot Entry'!H355="p",'Ballot Entry'!I355,'Ballot Entry'!I355*-1)</f>
        <v>0</v>
      </c>
      <c r="Q332" s="374">
        <f>IF('Ballot Entry'!H356="p",'Ballot Entry'!I356,'Ballot Entry'!I356*-1)</f>
        <v>0</v>
      </c>
      <c r="R332" s="57"/>
      <c r="S332" s="57"/>
      <c r="T332" s="57"/>
      <c r="U332" s="57"/>
      <c r="V332" s="57"/>
      <c r="W332" s="57"/>
      <c r="X332" s="57"/>
      <c r="Y332" s="57"/>
      <c r="Z332" s="57"/>
      <c r="AA332" s="57"/>
      <c r="AB332" s="57"/>
      <c r="AC332" s="57"/>
      <c r="AD332" s="361"/>
      <c r="AE332" s="57"/>
      <c r="AF332" s="57"/>
      <c r="AG332" s="57"/>
      <c r="AH332" s="57"/>
      <c r="AI332" s="57"/>
      <c r="AJ332" s="57"/>
      <c r="AK332" s="57"/>
      <c r="AL332" s="57"/>
      <c r="AM332" s="57"/>
      <c r="AP332" s="57"/>
      <c r="AQ332" s="57"/>
      <c r="AR332" s="57"/>
    </row>
    <row r="333" spans="1:44" ht="15" thickTop="1" x14ac:dyDescent="0.3">
      <c r="A333" s="60" t="str">
        <f>IF(Teams&gt;=10, "4", "Hide")</f>
        <v>4</v>
      </c>
      <c r="B333" s="384">
        <f>B227</f>
        <v>601</v>
      </c>
      <c r="C333" s="276" t="s">
        <v>220</v>
      </c>
      <c r="D333" s="384">
        <v>1051</v>
      </c>
      <c r="E333" s="276" t="s">
        <v>221</v>
      </c>
      <c r="F333" s="74">
        <v>1217</v>
      </c>
      <c r="G333" s="67" t="s">
        <v>49</v>
      </c>
      <c r="H333" s="25" t="s">
        <v>47</v>
      </c>
      <c r="I333" s="242">
        <v>16</v>
      </c>
      <c r="K333" s="366">
        <f>RANK(M333,'Ballot Entry'!$M$321:$M$355,1)</f>
        <v>10</v>
      </c>
      <c r="L333" s="367">
        <f>RANK(N333,'Ballot Entry'!$N$321:$N$355,1)</f>
        <v>10</v>
      </c>
      <c r="M333" s="368">
        <f>IF(ISBLANK('Ballot Entry'!D357),9999,'Ballot Entry'!D357)</f>
        <v>9999</v>
      </c>
      <c r="N333" s="368">
        <f>IF(ISBLANK('Ballot Entry'!F357),9999,'Ballot Entry'!F357)</f>
        <v>9999</v>
      </c>
      <c r="O333" s="368">
        <f>IF('Ballot Entry'!H357="p",'Ballot Entry'!I357,'Ballot Entry'!I357*-1)</f>
        <v>0</v>
      </c>
      <c r="P333" s="368">
        <f>IF('Ballot Entry'!H358="p",'Ballot Entry'!I358,'Ballot Entry'!I358*-1)</f>
        <v>0</v>
      </c>
      <c r="Q333" s="374">
        <f>IF('Ballot Entry'!H359="p",'Ballot Entry'!I359,'Ballot Entry'!I359*-1)</f>
        <v>0</v>
      </c>
      <c r="R333" s="57"/>
      <c r="S333" s="57"/>
      <c r="T333" s="57"/>
      <c r="U333" s="57"/>
      <c r="V333" s="57"/>
      <c r="W333" s="57"/>
      <c r="X333" s="57"/>
      <c r="Y333" s="57"/>
      <c r="Z333" s="57"/>
      <c r="AA333" s="57"/>
      <c r="AB333" s="57"/>
      <c r="AC333" s="57"/>
      <c r="AD333" s="361"/>
      <c r="AE333" s="57"/>
      <c r="AF333" s="57"/>
      <c r="AG333" s="57"/>
      <c r="AH333" s="57"/>
      <c r="AI333" s="57"/>
      <c r="AJ333" s="57"/>
      <c r="AK333" s="57"/>
      <c r="AL333" s="57"/>
      <c r="AM333" s="57"/>
      <c r="AP333" s="57"/>
      <c r="AQ333" s="57"/>
      <c r="AR333" s="57"/>
    </row>
    <row r="334" spans="1:44" x14ac:dyDescent="0.2">
      <c r="A334" s="61" t="str">
        <f>IF(Teams&gt;=10, "4", "Hide")</f>
        <v>4</v>
      </c>
      <c r="G334" s="68" t="s">
        <v>50</v>
      </c>
      <c r="H334" s="26" t="s">
        <v>47</v>
      </c>
      <c r="I334" s="243">
        <v>2</v>
      </c>
      <c r="K334" s="366">
        <f>RANK(M334,'Ballot Entry'!$M$321:$M$355,1)</f>
        <v>10</v>
      </c>
      <c r="L334" s="367">
        <f>RANK(N334,'Ballot Entry'!$N$321:$N$355,1)</f>
        <v>10</v>
      </c>
      <c r="M334" s="368">
        <f>IF(ISBLANK('Ballot Entry'!D360),9999,'Ballot Entry'!D360)</f>
        <v>9999</v>
      </c>
      <c r="N334" s="368">
        <f>IF(ISBLANK('Ballot Entry'!F360),9999,'Ballot Entry'!F360)</f>
        <v>9999</v>
      </c>
      <c r="O334" s="368">
        <f>IF('Ballot Entry'!H360="p",'Ballot Entry'!I360,'Ballot Entry'!I360*-1)</f>
        <v>0</v>
      </c>
      <c r="P334" s="368">
        <f>IF('Ballot Entry'!H361="p",'Ballot Entry'!I361,'Ballot Entry'!I361*-1)</f>
        <v>0</v>
      </c>
      <c r="Q334" s="374">
        <f>IF('Ballot Entry'!H362="p",'Ballot Entry'!I362,'Ballot Entry'!I362*-1)</f>
        <v>0</v>
      </c>
      <c r="R334" s="57"/>
      <c r="S334" s="57"/>
      <c r="T334" s="57"/>
      <c r="U334" s="57"/>
      <c r="V334" s="57"/>
      <c r="W334" s="57"/>
      <c r="X334" s="57"/>
      <c r="Y334" s="57"/>
      <c r="Z334" s="57"/>
      <c r="AA334" s="57"/>
      <c r="AB334" s="57"/>
      <c r="AC334" s="57"/>
      <c r="AD334" s="361"/>
      <c r="AE334" s="57"/>
      <c r="AF334" s="57"/>
      <c r="AG334" s="57"/>
      <c r="AH334" s="57"/>
      <c r="AI334" s="57"/>
      <c r="AJ334" s="57"/>
      <c r="AK334" s="57"/>
      <c r="AL334" s="57"/>
      <c r="AM334" s="57"/>
      <c r="AP334" s="57"/>
      <c r="AQ334" s="57"/>
      <c r="AR334" s="57"/>
    </row>
    <row r="335" spans="1:44" ht="13.5" thickBot="1" x14ac:dyDescent="0.25">
      <c r="A335" s="61" t="str">
        <f>IF(Teams&gt;=10, IF(Ballots = 3, "4", "Hide"), "Hide")</f>
        <v>Hide</v>
      </c>
      <c r="B335" s="386"/>
      <c r="C335" s="277"/>
      <c r="D335" s="278"/>
      <c r="E335" s="278"/>
      <c r="F335" s="75"/>
      <c r="G335" s="68" t="s">
        <v>51</v>
      </c>
      <c r="H335" s="27"/>
      <c r="I335" s="244"/>
      <c r="K335" s="366">
        <f>RANK(M335,'Ballot Entry'!$M$321:$M$355,1)</f>
        <v>10</v>
      </c>
      <c r="L335" s="367">
        <f>RANK(N335,'Ballot Entry'!$N$321:$N$355,1)</f>
        <v>10</v>
      </c>
      <c r="M335" s="368">
        <f>IF(ISBLANK('Ballot Entry'!D363),9999,'Ballot Entry'!D363)</f>
        <v>9999</v>
      </c>
      <c r="N335" s="368">
        <f>IF(ISBLANK('Ballot Entry'!F363),9999,'Ballot Entry'!F363)</f>
        <v>9999</v>
      </c>
      <c r="O335" s="368">
        <f>IF('Ballot Entry'!H363="p",'Ballot Entry'!I363,'Ballot Entry'!I363*-1)</f>
        <v>0</v>
      </c>
      <c r="P335" s="368">
        <f>IF('Ballot Entry'!H364="p",'Ballot Entry'!I364,'Ballot Entry'!I364*-1)</f>
        <v>0</v>
      </c>
      <c r="Q335" s="374">
        <f>IF('Ballot Entry'!H365="p",'Ballot Entry'!I365,'Ballot Entry'!I365*-1)</f>
        <v>0</v>
      </c>
      <c r="R335" s="57"/>
      <c r="S335" s="57"/>
      <c r="T335" s="57"/>
      <c r="U335" s="57"/>
      <c r="V335" s="57"/>
      <c r="W335" s="57"/>
      <c r="X335" s="57"/>
      <c r="Y335" s="57"/>
      <c r="Z335" s="57"/>
      <c r="AA335" s="57"/>
      <c r="AB335" s="57"/>
      <c r="AC335" s="57"/>
      <c r="AD335" s="361"/>
      <c r="AE335" s="57"/>
      <c r="AF335" s="57"/>
      <c r="AG335" s="57"/>
      <c r="AH335" s="57"/>
      <c r="AI335" s="57"/>
      <c r="AJ335" s="57"/>
      <c r="AK335" s="57"/>
      <c r="AL335" s="57"/>
      <c r="AM335" s="57"/>
      <c r="AP335" s="57"/>
      <c r="AQ335" s="57"/>
      <c r="AR335" s="57"/>
    </row>
    <row r="336" spans="1:44" ht="15" thickTop="1" x14ac:dyDescent="0.3">
      <c r="A336" s="62" t="str">
        <f>IF(Teams&gt;=12, "4", "Hide")</f>
        <v>4</v>
      </c>
      <c r="B336" s="387">
        <f>B230</f>
        <v>602</v>
      </c>
      <c r="C336" s="279" t="s">
        <v>220</v>
      </c>
      <c r="D336" s="280">
        <v>1492</v>
      </c>
      <c r="E336" s="279" t="s">
        <v>221</v>
      </c>
      <c r="F336" s="76">
        <v>1258</v>
      </c>
      <c r="G336" s="69" t="s">
        <v>49</v>
      </c>
      <c r="H336" s="28" t="s">
        <v>47</v>
      </c>
      <c r="I336" s="245">
        <v>18</v>
      </c>
      <c r="K336" s="366">
        <f>RANK(M336,'Ballot Entry'!$M$321:$M$355,1)</f>
        <v>10</v>
      </c>
      <c r="L336" s="367">
        <f>RANK(N336,'Ballot Entry'!$N$321:$N$355,1)</f>
        <v>10</v>
      </c>
      <c r="M336" s="368">
        <f>IF(ISBLANK('Ballot Entry'!D366),9999,'Ballot Entry'!D366)</f>
        <v>9999</v>
      </c>
      <c r="N336" s="368">
        <f>IF(ISBLANK('Ballot Entry'!F366),9999,'Ballot Entry'!F366)</f>
        <v>9999</v>
      </c>
      <c r="O336" s="368">
        <f>IF('Ballot Entry'!H366="p",'Ballot Entry'!I366,'Ballot Entry'!I366*-1)</f>
        <v>0</v>
      </c>
      <c r="P336" s="368">
        <f>IF('Ballot Entry'!H367="p",'Ballot Entry'!I367,'Ballot Entry'!I367*-1)</f>
        <v>0</v>
      </c>
      <c r="Q336" s="374">
        <f>IF('Ballot Entry'!H368="p",'Ballot Entry'!I368,'Ballot Entry'!I368*-1)</f>
        <v>0</v>
      </c>
      <c r="R336" s="57"/>
      <c r="S336" s="57"/>
      <c r="T336" s="57"/>
      <c r="U336" s="57"/>
      <c r="V336" s="57"/>
      <c r="W336" s="57"/>
      <c r="X336" s="57"/>
      <c r="Y336" s="57"/>
      <c r="Z336" s="57"/>
      <c r="AA336" s="57"/>
      <c r="AB336" s="57"/>
      <c r="AC336" s="57"/>
      <c r="AD336" s="361"/>
      <c r="AE336" s="57"/>
      <c r="AF336" s="57"/>
      <c r="AG336" s="57"/>
      <c r="AH336" s="57"/>
      <c r="AI336" s="57"/>
      <c r="AJ336" s="57"/>
      <c r="AK336" s="57"/>
      <c r="AL336" s="57"/>
      <c r="AM336" s="57"/>
      <c r="AP336" s="57"/>
      <c r="AQ336" s="57"/>
      <c r="AR336" s="57"/>
    </row>
    <row r="337" spans="1:44" x14ac:dyDescent="0.2">
      <c r="A337" s="63" t="str">
        <f>IF(Teams&gt;=12, "4", "Hide")</f>
        <v>4</v>
      </c>
      <c r="B337" s="386"/>
      <c r="G337" s="68" t="s">
        <v>50</v>
      </c>
      <c r="H337" s="29" t="s">
        <v>33</v>
      </c>
      <c r="I337" s="246">
        <v>4</v>
      </c>
      <c r="K337" s="366">
        <f>RANK(M337,'Ballot Entry'!$M$321:$M$355,1)</f>
        <v>10</v>
      </c>
      <c r="L337" s="367">
        <f>RANK(N337,'Ballot Entry'!$N$321:$N$355,1)</f>
        <v>10</v>
      </c>
      <c r="M337" s="368">
        <f>IF(ISBLANK('Ballot Entry'!D369),9999,'Ballot Entry'!D369)</f>
        <v>9999</v>
      </c>
      <c r="N337" s="368">
        <f>IF(ISBLANK('Ballot Entry'!F369),9999,'Ballot Entry'!F369)</f>
        <v>9999</v>
      </c>
      <c r="O337" s="368">
        <f>IF('Ballot Entry'!H369="p",'Ballot Entry'!I369,'Ballot Entry'!I369*-1)</f>
        <v>0</v>
      </c>
      <c r="P337" s="368">
        <f>IF('Ballot Entry'!H370="p",'Ballot Entry'!I370,'Ballot Entry'!I370*-1)</f>
        <v>0</v>
      </c>
      <c r="Q337" s="374">
        <f>IF('Ballot Entry'!H371="p",'Ballot Entry'!I371,'Ballot Entry'!I371*-1)</f>
        <v>0</v>
      </c>
      <c r="R337" s="57"/>
      <c r="S337" s="57"/>
      <c r="T337" s="57"/>
      <c r="U337" s="57"/>
      <c r="V337" s="57"/>
      <c r="W337" s="57"/>
      <c r="X337" s="57"/>
      <c r="Y337" s="57"/>
      <c r="Z337" s="57"/>
      <c r="AA337" s="57"/>
      <c r="AB337" s="57"/>
      <c r="AC337" s="57"/>
      <c r="AD337" s="361"/>
      <c r="AE337" s="57"/>
      <c r="AF337" s="57"/>
      <c r="AG337" s="57"/>
      <c r="AH337" s="57"/>
      <c r="AI337" s="57"/>
      <c r="AJ337" s="57"/>
      <c r="AK337" s="57"/>
      <c r="AL337" s="57"/>
      <c r="AM337" s="57"/>
      <c r="AP337" s="57"/>
      <c r="AQ337" s="57"/>
      <c r="AR337" s="57"/>
    </row>
    <row r="338" spans="1:44" ht="13.5" thickBot="1" x14ac:dyDescent="0.25">
      <c r="A338" s="64" t="str">
        <f>IF(Teams&gt;=12, IF(Ballots = 3, "4", "Hide"), "Hide")</f>
        <v>Hide</v>
      </c>
      <c r="B338" s="388"/>
      <c r="C338" s="281"/>
      <c r="D338" s="282"/>
      <c r="E338" s="282"/>
      <c r="F338" s="77"/>
      <c r="G338" s="70" t="s">
        <v>51</v>
      </c>
      <c r="H338" s="30"/>
      <c r="I338" s="247"/>
      <c r="K338" s="366">
        <f>RANK(M338,'Ballot Entry'!$M$321:$M$355,1)</f>
        <v>10</v>
      </c>
      <c r="L338" s="367">
        <f>RANK(N338,'Ballot Entry'!$N$321:$N$355,1)</f>
        <v>10</v>
      </c>
      <c r="M338" s="368">
        <f>IF(ISBLANK('Ballot Entry'!D372),9999,'Ballot Entry'!D372)</f>
        <v>9999</v>
      </c>
      <c r="N338" s="368">
        <f>IF(ISBLANK('Ballot Entry'!F372),9999,'Ballot Entry'!F372)</f>
        <v>9999</v>
      </c>
      <c r="O338" s="368">
        <f>IF('Ballot Entry'!H372="p",'Ballot Entry'!I372,'Ballot Entry'!I372*-1)</f>
        <v>0</v>
      </c>
      <c r="P338" s="368">
        <f>IF('Ballot Entry'!H373="p",'Ballot Entry'!I373,'Ballot Entry'!I373*-1)</f>
        <v>0</v>
      </c>
      <c r="Q338" s="374">
        <f>IF('Ballot Entry'!H374="p",'Ballot Entry'!I374,'Ballot Entry'!I374*-1)</f>
        <v>0</v>
      </c>
      <c r="R338" s="57"/>
      <c r="S338" s="57"/>
      <c r="T338" s="57"/>
      <c r="U338" s="57"/>
      <c r="V338" s="57"/>
      <c r="W338" s="57"/>
      <c r="X338" s="57"/>
      <c r="Y338" s="57"/>
      <c r="Z338" s="57"/>
      <c r="AA338" s="57"/>
      <c r="AB338" s="57"/>
      <c r="AC338" s="57"/>
      <c r="AD338" s="361"/>
      <c r="AE338" s="57"/>
      <c r="AF338" s="57"/>
      <c r="AG338" s="57"/>
      <c r="AH338" s="57"/>
      <c r="AI338" s="57"/>
      <c r="AJ338" s="57"/>
      <c r="AK338" s="57"/>
      <c r="AL338" s="57"/>
      <c r="AM338" s="57"/>
      <c r="AP338" s="57"/>
      <c r="AQ338" s="57"/>
      <c r="AR338" s="57"/>
    </row>
    <row r="339" spans="1:44" ht="15" thickTop="1" x14ac:dyDescent="0.3">
      <c r="A339" s="60" t="str">
        <f>IF(Teams&gt;=14, "4", "Hide")</f>
        <v>4</v>
      </c>
      <c r="B339" s="384">
        <f>B233</f>
        <v>603</v>
      </c>
      <c r="C339" s="276" t="s">
        <v>220</v>
      </c>
      <c r="D339" s="384">
        <v>1078</v>
      </c>
      <c r="E339" s="276" t="s">
        <v>221</v>
      </c>
      <c r="F339" s="74">
        <v>1262</v>
      </c>
      <c r="G339" s="67" t="s">
        <v>49</v>
      </c>
      <c r="H339" s="25" t="s">
        <v>47</v>
      </c>
      <c r="I339" s="242">
        <v>2</v>
      </c>
      <c r="K339" s="366">
        <f>RANK(M339,'Ballot Entry'!$M$321:$M$355,1)</f>
        <v>10</v>
      </c>
      <c r="L339" s="367">
        <f>RANK(N339,'Ballot Entry'!$N$321:$N$355,1)</f>
        <v>10</v>
      </c>
      <c r="M339" s="368">
        <f>IF(ISBLANK('Ballot Entry'!D375),9999,'Ballot Entry'!D375)</f>
        <v>9999</v>
      </c>
      <c r="N339" s="368">
        <f>IF(ISBLANK('Ballot Entry'!F375),9999,'Ballot Entry'!F375)</f>
        <v>9999</v>
      </c>
      <c r="O339" s="368">
        <f>IF('Ballot Entry'!H375="p",'Ballot Entry'!I375,'Ballot Entry'!I375*-1)</f>
        <v>0</v>
      </c>
      <c r="P339" s="368">
        <f>IF('Ballot Entry'!H376="p",'Ballot Entry'!I376,'Ballot Entry'!I376*-1)</f>
        <v>0</v>
      </c>
      <c r="Q339" s="374">
        <f>IF('Ballot Entry'!H377="p",'Ballot Entry'!I377,'Ballot Entry'!I377*-1)</f>
        <v>0</v>
      </c>
      <c r="R339" s="57"/>
      <c r="S339" s="57"/>
      <c r="T339" s="57"/>
      <c r="U339" s="57"/>
      <c r="V339" s="57"/>
      <c r="W339" s="57"/>
      <c r="X339" s="57"/>
      <c r="Y339" s="57"/>
      <c r="Z339" s="57"/>
      <c r="AA339" s="57"/>
      <c r="AB339" s="57"/>
      <c r="AC339" s="57"/>
      <c r="AD339" s="361"/>
      <c r="AE339" s="57"/>
      <c r="AF339" s="57"/>
      <c r="AG339" s="57"/>
      <c r="AH339" s="57"/>
      <c r="AI339" s="57"/>
      <c r="AJ339" s="57"/>
      <c r="AK339" s="57"/>
      <c r="AL339" s="57"/>
      <c r="AM339" s="57"/>
      <c r="AP339" s="57"/>
      <c r="AQ339" s="57"/>
      <c r="AR339" s="57"/>
    </row>
    <row r="340" spans="1:44" x14ac:dyDescent="0.2">
      <c r="A340" s="61" t="str">
        <f>IF(Teams&gt;=14, "4", "Hide")</f>
        <v>4</v>
      </c>
      <c r="G340" s="68" t="s">
        <v>50</v>
      </c>
      <c r="H340" s="26" t="s">
        <v>33</v>
      </c>
      <c r="I340" s="243">
        <v>2</v>
      </c>
      <c r="K340" s="366">
        <f>RANK(M340,'Ballot Entry'!$M$321:$M$355,1)</f>
        <v>10</v>
      </c>
      <c r="L340" s="367">
        <f>RANK(N340,'Ballot Entry'!$N$321:$N$355,1)</f>
        <v>10</v>
      </c>
      <c r="M340" s="368">
        <f>IF(ISBLANK('Ballot Entry'!D378),9999,'Ballot Entry'!D378)</f>
        <v>9999</v>
      </c>
      <c r="N340" s="368">
        <f>IF(ISBLANK('Ballot Entry'!F378),9999,'Ballot Entry'!F378)</f>
        <v>9999</v>
      </c>
      <c r="O340" s="368">
        <f>IF('Ballot Entry'!H378="p",'Ballot Entry'!I378,'Ballot Entry'!I378*-1)</f>
        <v>0</v>
      </c>
      <c r="P340" s="368">
        <f>IF('Ballot Entry'!H379="p",'Ballot Entry'!I379,'Ballot Entry'!I379*-1)</f>
        <v>0</v>
      </c>
      <c r="Q340" s="374">
        <f>IF('Ballot Entry'!H380="p",'Ballot Entry'!I380,'Ballot Entry'!I380*-1)</f>
        <v>0</v>
      </c>
      <c r="R340" s="57"/>
      <c r="S340" s="57"/>
      <c r="T340" s="57"/>
      <c r="U340" s="57"/>
      <c r="V340" s="57"/>
      <c r="W340" s="57"/>
      <c r="X340" s="57"/>
      <c r="Y340" s="57"/>
      <c r="Z340" s="57"/>
      <c r="AA340" s="57"/>
      <c r="AB340" s="57"/>
      <c r="AC340" s="57"/>
      <c r="AD340" s="361"/>
      <c r="AE340" s="57"/>
      <c r="AF340" s="57"/>
      <c r="AG340" s="57"/>
      <c r="AH340" s="57"/>
      <c r="AI340" s="57"/>
      <c r="AJ340" s="57"/>
      <c r="AK340" s="57"/>
      <c r="AL340" s="57"/>
      <c r="AM340" s="57"/>
      <c r="AP340" s="57"/>
      <c r="AQ340" s="57"/>
      <c r="AR340" s="57"/>
    </row>
    <row r="341" spans="1:44" ht="13.5" thickBot="1" x14ac:dyDescent="0.25">
      <c r="A341" s="61" t="str">
        <f>IF(Teams&gt;=14, IF(Ballots = 3, "4", "Hide"), "Hide")</f>
        <v>Hide</v>
      </c>
      <c r="B341" s="386"/>
      <c r="C341" s="277"/>
      <c r="D341" s="278"/>
      <c r="E341" s="278"/>
      <c r="F341" s="75"/>
      <c r="G341" s="68" t="s">
        <v>51</v>
      </c>
      <c r="H341" s="27"/>
      <c r="I341" s="244"/>
      <c r="K341" s="366">
        <f>RANK(M341,'Ballot Entry'!$M$321:$M$355,1)</f>
        <v>10</v>
      </c>
      <c r="L341" s="367">
        <f>RANK(N341,'Ballot Entry'!$N$321:$N$355,1)</f>
        <v>10</v>
      </c>
      <c r="M341" s="368">
        <f>IF(ISBLANK('Ballot Entry'!D381),9999,'Ballot Entry'!D381)</f>
        <v>9999</v>
      </c>
      <c r="N341" s="368">
        <f>IF(ISBLANK('Ballot Entry'!F381),9999,'Ballot Entry'!F381)</f>
        <v>9999</v>
      </c>
      <c r="O341" s="367">
        <f>IF('Ballot Entry'!H381="p",'Ballot Entry'!I381,'Ballot Entry'!I381*-1)</f>
        <v>0</v>
      </c>
      <c r="P341" s="367">
        <f>IF('Ballot Entry'!H382="p",'Ballot Entry'!I382,'Ballot Entry'!I382*-1)</f>
        <v>0</v>
      </c>
      <c r="Q341" s="369">
        <f>IF('Ballot Entry'!H383="p",'Ballot Entry'!I383,'Ballot Entry'!I383*-1)</f>
        <v>0</v>
      </c>
      <c r="R341" s="57"/>
      <c r="S341" s="57"/>
      <c r="T341" s="57"/>
      <c r="U341" s="57"/>
      <c r="V341" s="57"/>
      <c r="W341" s="57"/>
      <c r="X341" s="57"/>
      <c r="Y341" s="57"/>
      <c r="Z341" s="57"/>
      <c r="AA341" s="57"/>
      <c r="AB341" s="57"/>
      <c r="AC341" s="57"/>
      <c r="AD341" s="361"/>
      <c r="AE341" s="57"/>
      <c r="AF341" s="57"/>
      <c r="AG341" s="57"/>
      <c r="AH341" s="57"/>
      <c r="AI341" s="57"/>
      <c r="AJ341" s="57"/>
      <c r="AK341" s="57"/>
      <c r="AL341" s="57"/>
      <c r="AM341" s="57"/>
      <c r="AP341" s="57"/>
      <c r="AQ341" s="57"/>
      <c r="AR341" s="57"/>
    </row>
    <row r="342" spans="1:44" ht="15" thickTop="1" x14ac:dyDescent="0.3">
      <c r="A342" s="62" t="str">
        <f>IF(Teams&gt;=16, "4", "Hide")</f>
        <v>4</v>
      </c>
      <c r="B342" s="387">
        <f>B236</f>
        <v>604</v>
      </c>
      <c r="C342" s="279" t="s">
        <v>220</v>
      </c>
      <c r="D342" s="280">
        <v>1224</v>
      </c>
      <c r="E342" s="279" t="s">
        <v>221</v>
      </c>
      <c r="F342" s="76">
        <v>1693</v>
      </c>
      <c r="G342" s="69" t="s">
        <v>49</v>
      </c>
      <c r="H342" s="28" t="s">
        <v>33</v>
      </c>
      <c r="I342" s="245">
        <v>1</v>
      </c>
      <c r="K342" s="366">
        <f>RANK(M342,'Ballot Entry'!$M$321:$M$355,1)</f>
        <v>10</v>
      </c>
      <c r="L342" s="367">
        <f>RANK(N342,'Ballot Entry'!$N$321:$N$355,1)</f>
        <v>10</v>
      </c>
      <c r="M342" s="368">
        <f>IF(ISBLANK('Ballot Entry'!D384),9999,'Ballot Entry'!D384)</f>
        <v>9999</v>
      </c>
      <c r="N342" s="368">
        <f>IF(ISBLANK('Ballot Entry'!F384),9999,'Ballot Entry'!F384)</f>
        <v>9999</v>
      </c>
      <c r="O342" s="367">
        <f>IF('Ballot Entry'!H384="p",'Ballot Entry'!I384,'Ballot Entry'!I384*-1)</f>
        <v>0</v>
      </c>
      <c r="P342" s="367">
        <f>IF('Ballot Entry'!H385="p",'Ballot Entry'!I385,'Ballot Entry'!I385*-1)</f>
        <v>0</v>
      </c>
      <c r="Q342" s="369">
        <f>IF('Ballot Entry'!H386="p",'Ballot Entry'!I386,'Ballot Entry'!I386*-1)</f>
        <v>0</v>
      </c>
      <c r="R342" s="57"/>
      <c r="S342" s="57"/>
      <c r="T342" s="57"/>
      <c r="U342" s="57"/>
      <c r="V342" s="57"/>
      <c r="W342" s="57"/>
      <c r="X342" s="57"/>
      <c r="Y342" s="57"/>
      <c r="Z342" s="57"/>
      <c r="AA342" s="57"/>
      <c r="AB342" s="57"/>
      <c r="AC342" s="57"/>
      <c r="AD342" s="361"/>
      <c r="AE342" s="57"/>
      <c r="AF342" s="57"/>
      <c r="AG342" s="57"/>
      <c r="AH342" s="57"/>
      <c r="AI342" s="57"/>
      <c r="AJ342" s="57"/>
      <c r="AK342" s="57"/>
      <c r="AL342" s="57"/>
      <c r="AM342" s="57"/>
      <c r="AP342" s="57"/>
      <c r="AQ342" s="57"/>
      <c r="AR342" s="57"/>
    </row>
    <row r="343" spans="1:44" x14ac:dyDescent="0.2">
      <c r="A343" s="63" t="str">
        <f>IF(Teams&gt;=16, "4", "Hide")</f>
        <v>4</v>
      </c>
      <c r="B343" s="386"/>
      <c r="G343" s="68" t="s">
        <v>50</v>
      </c>
      <c r="H343" s="29" t="s">
        <v>33</v>
      </c>
      <c r="I343" s="246">
        <v>6</v>
      </c>
      <c r="K343" s="366">
        <f>RANK(M343,'Ballot Entry'!$M$321:$M$355,1)</f>
        <v>10</v>
      </c>
      <c r="L343" s="367">
        <f>RANK(N343,'Ballot Entry'!$N$321:$N$355,1)</f>
        <v>10</v>
      </c>
      <c r="M343" s="368">
        <f>IF(ISBLANK('Ballot Entry'!D387),9999,'Ballot Entry'!D387)</f>
        <v>9999</v>
      </c>
      <c r="N343" s="368">
        <f>IF(ISBLANK('Ballot Entry'!F387),9999,'Ballot Entry'!F387)</f>
        <v>9999</v>
      </c>
      <c r="O343" s="367">
        <f>IF('Ballot Entry'!H387="p",'Ballot Entry'!I387,'Ballot Entry'!I387*-1)</f>
        <v>0</v>
      </c>
      <c r="P343" s="367">
        <f>IF('Ballot Entry'!H388="p",'Ballot Entry'!I388,'Ballot Entry'!I388*-1)</f>
        <v>0</v>
      </c>
      <c r="Q343" s="369">
        <f>IF('Ballot Entry'!H389="p",'Ballot Entry'!I389,'Ballot Entry'!I389*-1)</f>
        <v>0</v>
      </c>
      <c r="R343" s="57"/>
      <c r="S343" s="57"/>
      <c r="T343" s="57"/>
      <c r="U343" s="57"/>
      <c r="V343" s="57"/>
      <c r="W343" s="57"/>
      <c r="X343" s="57"/>
      <c r="Y343" s="57"/>
      <c r="Z343" s="57"/>
      <c r="AA343" s="57"/>
      <c r="AB343" s="57"/>
      <c r="AC343" s="57"/>
      <c r="AD343" s="361"/>
      <c r="AE343" s="57"/>
      <c r="AF343" s="57"/>
      <c r="AG343" s="57"/>
      <c r="AH343" s="57"/>
      <c r="AI343" s="57"/>
      <c r="AJ343" s="57"/>
      <c r="AK343" s="57"/>
      <c r="AL343" s="57"/>
      <c r="AM343" s="57"/>
      <c r="AP343" s="57"/>
      <c r="AQ343" s="57"/>
      <c r="AR343" s="57"/>
    </row>
    <row r="344" spans="1:44" ht="13.5" thickBot="1" x14ac:dyDescent="0.25">
      <c r="A344" s="64" t="str">
        <f>IF(Teams&gt;=16, IF(Ballots = 3, "4", "Hide"), "Hide")</f>
        <v>Hide</v>
      </c>
      <c r="B344" s="388"/>
      <c r="C344" s="281"/>
      <c r="D344" s="282"/>
      <c r="E344" s="282"/>
      <c r="F344" s="77"/>
      <c r="G344" s="70" t="s">
        <v>51</v>
      </c>
      <c r="H344" s="30"/>
      <c r="I344" s="247"/>
      <c r="K344" s="366">
        <f>RANK(M344,'Ballot Entry'!$M$321:$M$355,1)</f>
        <v>10</v>
      </c>
      <c r="L344" s="367">
        <f>RANK(N344,'Ballot Entry'!$N$321:$N$355,1)</f>
        <v>10</v>
      </c>
      <c r="M344" s="368">
        <f>IF(ISBLANK('Ballot Entry'!D390),9999,'Ballot Entry'!D390)</f>
        <v>9999</v>
      </c>
      <c r="N344" s="368">
        <f>IF(ISBLANK('Ballot Entry'!F390),9999,'Ballot Entry'!F390)</f>
        <v>9999</v>
      </c>
      <c r="O344" s="367">
        <f>IF('Ballot Entry'!H390="p",'Ballot Entry'!I390,'Ballot Entry'!I390*-1)</f>
        <v>0</v>
      </c>
      <c r="P344" s="367">
        <f>IF('Ballot Entry'!H391="p",'Ballot Entry'!I391,'Ballot Entry'!I391*-1)</f>
        <v>0</v>
      </c>
      <c r="Q344" s="369">
        <f>IF('Ballot Entry'!H392="p",'Ballot Entry'!I392,'Ballot Entry'!I392*-1)</f>
        <v>0</v>
      </c>
      <c r="R344" s="57"/>
      <c r="S344" s="57"/>
      <c r="T344" s="57"/>
      <c r="U344" s="57"/>
      <c r="V344" s="57"/>
      <c r="W344" s="57"/>
      <c r="X344" s="57"/>
      <c r="Y344" s="57"/>
      <c r="Z344" s="57"/>
      <c r="AA344" s="57"/>
      <c r="AB344" s="57"/>
      <c r="AC344" s="57"/>
      <c r="AD344" s="361"/>
      <c r="AE344" s="57"/>
      <c r="AF344" s="57"/>
      <c r="AG344" s="57"/>
      <c r="AH344" s="57"/>
      <c r="AI344" s="57"/>
      <c r="AJ344" s="57"/>
      <c r="AK344" s="57"/>
      <c r="AL344" s="57"/>
      <c r="AM344" s="57"/>
      <c r="AP344" s="57"/>
      <c r="AQ344" s="57"/>
      <c r="AR344" s="57"/>
    </row>
    <row r="345" spans="1:44" ht="15" thickTop="1" x14ac:dyDescent="0.3">
      <c r="A345" s="60" t="str">
        <f>IF(Teams&gt;=18, "4", "Hide")</f>
        <v>4</v>
      </c>
      <c r="B345" s="384" t="str">
        <f>B239</f>
        <v>MCR - 7th</v>
      </c>
      <c r="C345" s="276" t="s">
        <v>220</v>
      </c>
      <c r="D345" s="384">
        <v>1557</v>
      </c>
      <c r="E345" s="276" t="s">
        <v>221</v>
      </c>
      <c r="F345" s="74">
        <v>1268</v>
      </c>
      <c r="G345" s="67" t="s">
        <v>49</v>
      </c>
      <c r="H345" s="25" t="s">
        <v>47</v>
      </c>
      <c r="I345" s="242">
        <v>6</v>
      </c>
      <c r="K345" s="366">
        <f>RANK(M345,'Ballot Entry'!$M$321:$M$355,1)</f>
        <v>10</v>
      </c>
      <c r="L345" s="367">
        <f>RANK(N345,'Ballot Entry'!$N$321:$N$355,1)</f>
        <v>10</v>
      </c>
      <c r="M345" s="368">
        <f>IF(ISBLANK('Ballot Entry'!D393),9999,'Ballot Entry'!D393)</f>
        <v>9999</v>
      </c>
      <c r="N345" s="368">
        <f>IF(ISBLANK('Ballot Entry'!F393),9999,'Ballot Entry'!F393)</f>
        <v>9999</v>
      </c>
      <c r="O345" s="367">
        <f>IF('Ballot Entry'!H393="p",'Ballot Entry'!I393,'Ballot Entry'!I393*-1)</f>
        <v>0</v>
      </c>
      <c r="P345" s="367">
        <f>IF('Ballot Entry'!H394="p",'Ballot Entry'!I394,'Ballot Entry'!I394*-1)</f>
        <v>0</v>
      </c>
      <c r="Q345" s="369">
        <f>IF('Ballot Entry'!H395="p",'Ballot Entry'!I395,'Ballot Entry'!I395*-1)</f>
        <v>0</v>
      </c>
      <c r="R345" s="57"/>
      <c r="S345" s="57"/>
      <c r="T345" s="57"/>
      <c r="U345" s="57"/>
      <c r="V345" s="57"/>
      <c r="W345" s="57"/>
      <c r="X345" s="57"/>
      <c r="Y345" s="57"/>
      <c r="Z345" s="57"/>
      <c r="AA345" s="57"/>
      <c r="AB345" s="57"/>
      <c r="AC345" s="57"/>
      <c r="AD345" s="361"/>
      <c r="AE345" s="57"/>
      <c r="AF345" s="57"/>
      <c r="AG345" s="57"/>
      <c r="AH345" s="57"/>
      <c r="AI345" s="57"/>
      <c r="AJ345" s="57"/>
      <c r="AK345" s="57"/>
      <c r="AL345" s="57"/>
      <c r="AM345" s="57"/>
      <c r="AP345" s="57"/>
      <c r="AQ345" s="57"/>
      <c r="AR345" s="57"/>
    </row>
    <row r="346" spans="1:44" x14ac:dyDescent="0.2">
      <c r="A346" s="61" t="str">
        <f>IF(Teams&gt;=18, "4", "Hide")</f>
        <v>4</v>
      </c>
      <c r="G346" s="68" t="s">
        <v>50</v>
      </c>
      <c r="H346" s="26" t="s">
        <v>47</v>
      </c>
      <c r="I346" s="243">
        <v>16</v>
      </c>
      <c r="K346" s="366">
        <f>RANK(M346,'Ballot Entry'!$M$321:$M$355,1)</f>
        <v>10</v>
      </c>
      <c r="L346" s="367">
        <f>RANK(N346,'Ballot Entry'!$N$321:$N$355,1)</f>
        <v>10</v>
      </c>
      <c r="M346" s="368">
        <f>IF(ISBLANK('Ballot Entry'!D396),9999,'Ballot Entry'!D396)</f>
        <v>9999</v>
      </c>
      <c r="N346" s="368">
        <f>IF(ISBLANK('Ballot Entry'!F396),9999,'Ballot Entry'!F396)</f>
        <v>9999</v>
      </c>
      <c r="O346" s="367">
        <f>IF('Ballot Entry'!H396="p",'Ballot Entry'!I396,'Ballot Entry'!I396*-1)</f>
        <v>0</v>
      </c>
      <c r="P346" s="367">
        <f>IF('Ballot Entry'!H397="p",'Ballot Entry'!I397,'Ballot Entry'!I397*-1)</f>
        <v>0</v>
      </c>
      <c r="Q346" s="369">
        <f>IF('Ballot Entry'!H398="p",'Ballot Entry'!I398,'Ballot Entry'!I398*-1)</f>
        <v>0</v>
      </c>
      <c r="R346" s="57"/>
      <c r="S346" s="57"/>
      <c r="T346" s="57"/>
      <c r="U346" s="57"/>
      <c r="V346" s="57"/>
      <c r="W346" s="57"/>
      <c r="X346" s="57"/>
      <c r="Y346" s="57"/>
      <c r="Z346" s="57"/>
      <c r="AA346" s="57"/>
      <c r="AB346" s="57"/>
      <c r="AC346" s="57"/>
      <c r="AD346" s="361"/>
      <c r="AE346" s="57"/>
      <c r="AF346" s="57"/>
      <c r="AG346" s="57"/>
      <c r="AH346" s="57"/>
      <c r="AI346" s="57"/>
      <c r="AJ346" s="57"/>
      <c r="AK346" s="57"/>
      <c r="AL346" s="57"/>
      <c r="AM346" s="57"/>
      <c r="AP346" s="57"/>
      <c r="AQ346" s="57"/>
      <c r="AR346" s="57"/>
    </row>
    <row r="347" spans="1:44" ht="13.5" thickBot="1" x14ac:dyDescent="0.25">
      <c r="A347" s="61" t="str">
        <f>IF(Teams&gt;=18, IF(Ballots = 3, "4", "Hide"), "Hide")</f>
        <v>Hide</v>
      </c>
      <c r="B347" s="386"/>
      <c r="C347" s="277"/>
      <c r="D347" s="278"/>
      <c r="E347" s="278"/>
      <c r="F347" s="75"/>
      <c r="G347" s="68" t="s">
        <v>51</v>
      </c>
      <c r="H347" s="27"/>
      <c r="I347" s="244"/>
      <c r="K347" s="366">
        <f>RANK(M347,'Ballot Entry'!$M$321:$M$355,1)</f>
        <v>10</v>
      </c>
      <c r="L347" s="367">
        <f>RANK(N347,'Ballot Entry'!$N$321:$N$355,1)</f>
        <v>10</v>
      </c>
      <c r="M347" s="368">
        <f>IF(ISBLANK('Ballot Entry'!D399),9999,'Ballot Entry'!D399)</f>
        <v>9999</v>
      </c>
      <c r="N347" s="368">
        <f>IF(ISBLANK('Ballot Entry'!F399),9999,'Ballot Entry'!F399)</f>
        <v>9999</v>
      </c>
      <c r="O347" s="367">
        <f>IF('Ballot Entry'!H399="p",'Ballot Entry'!I399,'Ballot Entry'!I399*-1)</f>
        <v>0</v>
      </c>
      <c r="P347" s="367">
        <f>IF('Ballot Entry'!H400="p",'Ballot Entry'!I400,'Ballot Entry'!I400*-1)</f>
        <v>0</v>
      </c>
      <c r="Q347" s="369">
        <f>IF('Ballot Entry'!H401="p",'Ballot Entry'!I401,'Ballot Entry'!I401*-1)</f>
        <v>0</v>
      </c>
      <c r="R347" s="57"/>
      <c r="S347" s="57"/>
      <c r="T347" s="57"/>
      <c r="U347" s="57"/>
      <c r="V347" s="57"/>
      <c r="W347" s="57"/>
      <c r="X347" s="57"/>
      <c r="Y347" s="57"/>
      <c r="Z347" s="57"/>
      <c r="AA347" s="57"/>
      <c r="AB347" s="57"/>
      <c r="AC347" s="57"/>
      <c r="AD347" s="361"/>
      <c r="AE347" s="57"/>
      <c r="AF347" s="57"/>
      <c r="AG347" s="57"/>
      <c r="AH347" s="57"/>
      <c r="AI347" s="57"/>
      <c r="AJ347" s="57"/>
      <c r="AK347" s="57"/>
      <c r="AL347" s="57"/>
      <c r="AM347" s="57"/>
      <c r="AP347" s="57"/>
      <c r="AQ347" s="57"/>
      <c r="AR347" s="57"/>
    </row>
    <row r="348" spans="1:44" ht="15" thickTop="1" x14ac:dyDescent="0.3">
      <c r="A348" s="62" t="str">
        <f>IF(Teams&gt;=20, "4", "Hide")</f>
        <v>Hide</v>
      </c>
      <c r="B348" s="387">
        <f>B242</f>
        <v>0</v>
      </c>
      <c r="C348" s="279" t="s">
        <v>220</v>
      </c>
      <c r="D348" s="280"/>
      <c r="E348" s="279" t="s">
        <v>221</v>
      </c>
      <c r="F348" s="76"/>
      <c r="G348" s="69" t="s">
        <v>49</v>
      </c>
      <c r="H348" s="28"/>
      <c r="I348" s="245"/>
      <c r="K348" s="366">
        <f>RANK(M348,'Ballot Entry'!$M$321:$M$355,1)</f>
        <v>10</v>
      </c>
      <c r="L348" s="367">
        <f>RANK(N348,'Ballot Entry'!$N$321:$N$355,1)</f>
        <v>10</v>
      </c>
      <c r="M348" s="368">
        <f>IF(ISBLANK('Ballot Entry'!D402),9999,'Ballot Entry'!D402)</f>
        <v>9999</v>
      </c>
      <c r="N348" s="368">
        <f>IF(ISBLANK('Ballot Entry'!F402),9999,'Ballot Entry'!F402)</f>
        <v>9999</v>
      </c>
      <c r="O348" s="367">
        <f>IF('Ballot Entry'!H402="p",'Ballot Entry'!I402,'Ballot Entry'!I402*-1)</f>
        <v>0</v>
      </c>
      <c r="P348" s="367">
        <f>IF('Ballot Entry'!H403="p",'Ballot Entry'!I403,'Ballot Entry'!I403*-1)</f>
        <v>0</v>
      </c>
      <c r="Q348" s="369">
        <f>IF('Ballot Entry'!H404="p",'Ballot Entry'!I404,'Ballot Entry'!I404*-1)</f>
        <v>0</v>
      </c>
      <c r="R348" s="57"/>
      <c r="S348" s="57"/>
      <c r="T348" s="57"/>
      <c r="U348" s="57"/>
      <c r="V348" s="57"/>
      <c r="W348" s="57"/>
      <c r="X348" s="57"/>
      <c r="Y348" s="57"/>
      <c r="Z348" s="57"/>
      <c r="AA348" s="57"/>
      <c r="AB348" s="57"/>
      <c r="AC348" s="57"/>
      <c r="AD348" s="361"/>
      <c r="AE348" s="57"/>
      <c r="AF348" s="57"/>
      <c r="AG348" s="57"/>
      <c r="AH348" s="57"/>
      <c r="AI348" s="57"/>
      <c r="AJ348" s="57"/>
      <c r="AK348" s="57"/>
      <c r="AL348" s="57"/>
      <c r="AM348" s="57"/>
      <c r="AP348" s="57"/>
      <c r="AQ348" s="57"/>
      <c r="AR348" s="57"/>
    </row>
    <row r="349" spans="1:44" x14ac:dyDescent="0.2">
      <c r="A349" s="63" t="str">
        <f>IF(Teams&gt;=20, "4", "Hide")</f>
        <v>Hide</v>
      </c>
      <c r="B349" s="386"/>
      <c r="G349" s="68" t="s">
        <v>50</v>
      </c>
      <c r="H349" s="29"/>
      <c r="I349" s="246"/>
      <c r="K349" s="366">
        <f>RANK(M349,'Ballot Entry'!$M$321:$M$355,1)</f>
        <v>10</v>
      </c>
      <c r="L349" s="367">
        <f>RANK(N349,'Ballot Entry'!$N$321:$N$355,1)</f>
        <v>10</v>
      </c>
      <c r="M349" s="368">
        <f>IF(ISBLANK('Ballot Entry'!D405),9999,'Ballot Entry'!D405)</f>
        <v>9999</v>
      </c>
      <c r="N349" s="368">
        <f>IF(ISBLANK('Ballot Entry'!F405),9999,'Ballot Entry'!F405)</f>
        <v>9999</v>
      </c>
      <c r="O349" s="367">
        <f>IF('Ballot Entry'!H405="p",'Ballot Entry'!I405,'Ballot Entry'!I405*-1)</f>
        <v>0</v>
      </c>
      <c r="P349" s="367">
        <f>IF('Ballot Entry'!H406="p",'Ballot Entry'!I406,'Ballot Entry'!I406*-1)</f>
        <v>0</v>
      </c>
      <c r="Q349" s="369">
        <f>IF('Ballot Entry'!H407="p",'Ballot Entry'!I407,'Ballot Entry'!I407*-1)</f>
        <v>0</v>
      </c>
      <c r="R349" s="57"/>
      <c r="S349" s="57"/>
      <c r="T349" s="57"/>
      <c r="U349" s="57"/>
      <c r="V349" s="57"/>
      <c r="W349" s="57"/>
      <c r="X349" s="57"/>
      <c r="Y349" s="57"/>
      <c r="Z349" s="57"/>
      <c r="AA349" s="57"/>
      <c r="AB349" s="57"/>
      <c r="AC349" s="57"/>
      <c r="AD349" s="361"/>
      <c r="AE349" s="57"/>
      <c r="AF349" s="57"/>
      <c r="AG349" s="57"/>
      <c r="AH349" s="57"/>
      <c r="AI349" s="57"/>
      <c r="AJ349" s="57"/>
      <c r="AK349" s="57"/>
      <c r="AL349" s="57"/>
      <c r="AM349" s="57"/>
      <c r="AP349" s="57"/>
      <c r="AQ349" s="57"/>
      <c r="AR349" s="57"/>
    </row>
    <row r="350" spans="1:44" ht="13.5" thickBot="1" x14ac:dyDescent="0.25">
      <c r="A350" s="64" t="str">
        <f>IF(Teams&gt;=20, IF(Ballots = 3, "4", "Hide"), "Hide")</f>
        <v>Hide</v>
      </c>
      <c r="B350" s="388"/>
      <c r="C350" s="281"/>
      <c r="D350" s="282"/>
      <c r="E350" s="282"/>
      <c r="F350" s="77"/>
      <c r="G350" s="70" t="s">
        <v>51</v>
      </c>
      <c r="H350" s="30"/>
      <c r="I350" s="247"/>
      <c r="K350" s="366">
        <f>RANK(M350,'Ballot Entry'!$M$321:$M$355,1)</f>
        <v>10</v>
      </c>
      <c r="L350" s="367">
        <f>RANK(N350,'Ballot Entry'!$N$321:$N$355,1)</f>
        <v>10</v>
      </c>
      <c r="M350" s="368">
        <f>IF(ISBLANK('Ballot Entry'!D408),9999,'Ballot Entry'!D408)</f>
        <v>9999</v>
      </c>
      <c r="N350" s="368">
        <f>IF(ISBLANK('Ballot Entry'!F408),9999,'Ballot Entry'!F408)</f>
        <v>9999</v>
      </c>
      <c r="O350" s="367">
        <f>IF('Ballot Entry'!H408="p",'Ballot Entry'!I408,'Ballot Entry'!I408*-1)</f>
        <v>0</v>
      </c>
      <c r="P350" s="367">
        <f>IF('Ballot Entry'!H409="p",'Ballot Entry'!I409,'Ballot Entry'!I409*-1)</f>
        <v>0</v>
      </c>
      <c r="Q350" s="369">
        <f>IF('Ballot Entry'!H410="p",'Ballot Entry'!I410,'Ballot Entry'!I410*-1)</f>
        <v>0</v>
      </c>
      <c r="R350" s="57"/>
      <c r="S350" s="57"/>
      <c r="T350" s="57"/>
      <c r="U350" s="57"/>
      <c r="V350" s="57"/>
      <c r="W350" s="57"/>
      <c r="X350" s="57"/>
      <c r="Y350" s="57"/>
      <c r="Z350" s="57"/>
      <c r="AA350" s="57"/>
      <c r="AB350" s="57"/>
      <c r="AC350" s="57"/>
      <c r="AD350" s="361"/>
      <c r="AE350" s="57"/>
      <c r="AF350" s="57"/>
      <c r="AG350" s="57"/>
      <c r="AH350" s="57"/>
      <c r="AI350" s="57"/>
      <c r="AJ350" s="57"/>
      <c r="AK350" s="57"/>
      <c r="AL350" s="57"/>
      <c r="AM350" s="57"/>
      <c r="AP350" s="57"/>
      <c r="AQ350" s="57"/>
      <c r="AR350" s="57"/>
    </row>
    <row r="351" spans="1:44" ht="15" thickTop="1" x14ac:dyDescent="0.3">
      <c r="A351" s="60" t="str">
        <f>IF(Teams&gt;=22, "4", "Hide")</f>
        <v>Hide</v>
      </c>
      <c r="B351" s="384">
        <f>B245</f>
        <v>0</v>
      </c>
      <c r="C351" s="276" t="s">
        <v>220</v>
      </c>
      <c r="D351" s="384"/>
      <c r="E351" s="276" t="s">
        <v>221</v>
      </c>
      <c r="F351" s="74"/>
      <c r="G351" s="67" t="s">
        <v>49</v>
      </c>
      <c r="H351" s="25"/>
      <c r="I351" s="242"/>
      <c r="K351" s="366">
        <f>RANK(M351,'Ballot Entry'!$M$321:$M$355,1)</f>
        <v>10</v>
      </c>
      <c r="L351" s="367">
        <f>RANK(N351,'Ballot Entry'!$N$321:$N$355,1)</f>
        <v>10</v>
      </c>
      <c r="M351" s="368">
        <f>IF(ISBLANK('Ballot Entry'!D411),9999,'Ballot Entry'!D411)</f>
        <v>9999</v>
      </c>
      <c r="N351" s="368">
        <f>IF(ISBLANK('Ballot Entry'!F411),9999,'Ballot Entry'!F411)</f>
        <v>9999</v>
      </c>
      <c r="O351" s="367">
        <f>IF('Ballot Entry'!H411="p",'Ballot Entry'!I411,'Ballot Entry'!I411*-1)</f>
        <v>0</v>
      </c>
      <c r="P351" s="367">
        <f>IF('Ballot Entry'!H412="p",'Ballot Entry'!I412,'Ballot Entry'!I412*-1)</f>
        <v>0</v>
      </c>
      <c r="Q351" s="369">
        <f>IF('Ballot Entry'!H413="p",'Ballot Entry'!I413,'Ballot Entry'!I413*-1)</f>
        <v>0</v>
      </c>
      <c r="R351" s="57"/>
      <c r="S351" s="57"/>
      <c r="T351" s="57"/>
      <c r="U351" s="57"/>
      <c r="V351" s="57"/>
      <c r="W351" s="57"/>
      <c r="X351" s="57"/>
      <c r="Y351" s="57"/>
      <c r="Z351" s="57"/>
      <c r="AA351" s="57"/>
      <c r="AB351" s="57"/>
      <c r="AC351" s="57"/>
      <c r="AD351" s="361"/>
      <c r="AE351" s="57"/>
      <c r="AF351" s="57"/>
      <c r="AG351" s="57"/>
      <c r="AH351" s="57"/>
      <c r="AI351" s="57"/>
      <c r="AJ351" s="57"/>
      <c r="AK351" s="57"/>
      <c r="AL351" s="57"/>
      <c r="AM351" s="57"/>
      <c r="AP351" s="57"/>
      <c r="AQ351" s="57"/>
      <c r="AR351" s="57"/>
    </row>
    <row r="352" spans="1:44" x14ac:dyDescent="0.2">
      <c r="A352" s="61" t="str">
        <f>IF(Teams&gt;=22, "4", "Hide")</f>
        <v>Hide</v>
      </c>
      <c r="G352" s="68" t="s">
        <v>50</v>
      </c>
      <c r="H352" s="26"/>
      <c r="I352" s="243"/>
      <c r="K352" s="366">
        <f>RANK(M352,'Ballot Entry'!$M$321:$M$355,1)</f>
        <v>10</v>
      </c>
      <c r="L352" s="367">
        <f>RANK(N352,'Ballot Entry'!$N$321:$N$355,1)</f>
        <v>10</v>
      </c>
      <c r="M352" s="368">
        <f>IF(ISBLANK('Ballot Entry'!D414),9999,'Ballot Entry'!D414)</f>
        <v>9999</v>
      </c>
      <c r="N352" s="368">
        <f>IF(ISBLANK('Ballot Entry'!F414),9999,'Ballot Entry'!F414)</f>
        <v>9999</v>
      </c>
      <c r="O352" s="367">
        <f>IF('Ballot Entry'!H414="p",'Ballot Entry'!I414,'Ballot Entry'!I414*-1)</f>
        <v>0</v>
      </c>
      <c r="P352" s="367">
        <f>IF('Ballot Entry'!H415="p",'Ballot Entry'!I415,'Ballot Entry'!I415*-1)</f>
        <v>0</v>
      </c>
      <c r="Q352" s="369">
        <f>IF('Ballot Entry'!H416="p",'Ballot Entry'!I416,'Ballot Entry'!I416*-1)</f>
        <v>0</v>
      </c>
      <c r="R352" s="57"/>
      <c r="S352" s="57"/>
      <c r="T352" s="57"/>
      <c r="U352" s="57"/>
      <c r="V352" s="57"/>
      <c r="W352" s="57"/>
      <c r="X352" s="57"/>
      <c r="Y352" s="57"/>
      <c r="Z352" s="57"/>
      <c r="AA352" s="57"/>
      <c r="AB352" s="57"/>
      <c r="AC352" s="57"/>
      <c r="AD352" s="361"/>
      <c r="AE352" s="57"/>
      <c r="AF352" s="57"/>
      <c r="AG352" s="57"/>
      <c r="AH352" s="57"/>
      <c r="AI352" s="57"/>
      <c r="AJ352" s="57"/>
      <c r="AK352" s="57"/>
      <c r="AL352" s="57"/>
      <c r="AM352" s="57"/>
      <c r="AP352" s="57"/>
      <c r="AQ352" s="57"/>
      <c r="AR352" s="57"/>
    </row>
    <row r="353" spans="1:44" ht="13.5" thickBot="1" x14ac:dyDescent="0.25">
      <c r="A353" s="61" t="str">
        <f>IF(Teams&gt;=22, IF(Ballots = 3, "4", "Hide"), "Hide")</f>
        <v>Hide</v>
      </c>
      <c r="B353" s="386"/>
      <c r="C353" s="277"/>
      <c r="D353" s="278"/>
      <c r="E353" s="278"/>
      <c r="F353" s="75"/>
      <c r="G353" s="68" t="s">
        <v>51</v>
      </c>
      <c r="H353" s="27"/>
      <c r="I353" s="244"/>
      <c r="K353" s="366">
        <f>RANK(M353,'Ballot Entry'!$M$321:$M$355,1)</f>
        <v>10</v>
      </c>
      <c r="L353" s="367">
        <f>RANK(N353,'Ballot Entry'!$N$321:$N$355,1)</f>
        <v>10</v>
      </c>
      <c r="M353" s="368">
        <f>IF(ISBLANK('Ballot Entry'!D417),9999,'Ballot Entry'!D417)</f>
        <v>9999</v>
      </c>
      <c r="N353" s="368">
        <f>IF(ISBLANK('Ballot Entry'!F417),9999,'Ballot Entry'!F417)</f>
        <v>9999</v>
      </c>
      <c r="O353" s="367">
        <f>IF('Ballot Entry'!H417="p",'Ballot Entry'!I417,'Ballot Entry'!I417*-1)</f>
        <v>0</v>
      </c>
      <c r="P353" s="367">
        <f>IF('Ballot Entry'!H418="p",'Ballot Entry'!I418,'Ballot Entry'!I418*-1)</f>
        <v>0</v>
      </c>
      <c r="Q353" s="369">
        <f>IF('Ballot Entry'!H419="p",'Ballot Entry'!I419,'Ballot Entry'!I419*-1)</f>
        <v>0</v>
      </c>
      <c r="R353" s="57"/>
      <c r="S353" s="57"/>
      <c r="T353" s="57"/>
      <c r="U353" s="57"/>
      <c r="V353" s="57"/>
      <c r="W353" s="57"/>
      <c r="X353" s="57"/>
      <c r="Y353" s="57"/>
      <c r="Z353" s="57"/>
      <c r="AA353" s="57"/>
      <c r="AB353" s="57"/>
      <c r="AC353" s="57"/>
      <c r="AD353" s="361"/>
      <c r="AE353" s="57"/>
      <c r="AF353" s="57"/>
      <c r="AG353" s="57"/>
      <c r="AH353" s="57"/>
      <c r="AI353" s="57"/>
      <c r="AJ353" s="57"/>
      <c r="AK353" s="57"/>
      <c r="AL353" s="57"/>
      <c r="AM353" s="57"/>
      <c r="AP353" s="57"/>
      <c r="AQ353" s="57"/>
      <c r="AR353" s="57"/>
    </row>
    <row r="354" spans="1:44" ht="15" thickTop="1" x14ac:dyDescent="0.3">
      <c r="A354" s="62" t="str">
        <f>IF(Teams&gt;=24, "4", "Hide")</f>
        <v>Hide</v>
      </c>
      <c r="B354" s="387">
        <f>B248</f>
        <v>0</v>
      </c>
      <c r="C354" s="279" t="s">
        <v>220</v>
      </c>
      <c r="D354" s="280"/>
      <c r="E354" s="279" t="s">
        <v>221</v>
      </c>
      <c r="F354" s="76"/>
      <c r="G354" s="69" t="s">
        <v>49</v>
      </c>
      <c r="H354" s="28"/>
      <c r="I354" s="245"/>
      <c r="K354" s="366">
        <f>RANK(M354,'Ballot Entry'!$M$321:$M$355,1)</f>
        <v>10</v>
      </c>
      <c r="L354" s="367">
        <f>RANK(N354,'Ballot Entry'!$N$321:$N$355,1)</f>
        <v>10</v>
      </c>
      <c r="M354" s="368">
        <f>IF(ISBLANK('Ballot Entry'!D420),9999,'Ballot Entry'!D420)</f>
        <v>9999</v>
      </c>
      <c r="N354" s="368">
        <f>IF(ISBLANK('Ballot Entry'!F420),9999,'Ballot Entry'!F420)</f>
        <v>9999</v>
      </c>
      <c r="O354" s="367">
        <f>IF('Ballot Entry'!H420="p",'Ballot Entry'!I420,'Ballot Entry'!I420*-1)</f>
        <v>0</v>
      </c>
      <c r="P354" s="367">
        <f>IF('Ballot Entry'!H421="p",'Ballot Entry'!I421,'Ballot Entry'!I421*-1)</f>
        <v>0</v>
      </c>
      <c r="Q354" s="369">
        <f>IF('Ballot Entry'!H422="p",'Ballot Entry'!I422,'Ballot Entry'!I422*-1)</f>
        <v>0</v>
      </c>
      <c r="R354" s="57"/>
      <c r="S354" s="57"/>
      <c r="T354" s="57"/>
      <c r="U354" s="57"/>
      <c r="V354" s="57"/>
      <c r="W354" s="57"/>
      <c r="X354" s="57"/>
      <c r="Y354" s="57"/>
      <c r="Z354" s="57"/>
      <c r="AA354" s="57"/>
      <c r="AB354" s="57"/>
      <c r="AC354" s="57"/>
      <c r="AD354" s="361"/>
      <c r="AE354" s="57"/>
      <c r="AF354" s="57"/>
      <c r="AG354" s="57"/>
      <c r="AH354" s="57"/>
      <c r="AI354" s="57"/>
      <c r="AJ354" s="57"/>
      <c r="AK354" s="57"/>
      <c r="AL354" s="57"/>
      <c r="AM354" s="57"/>
      <c r="AP354" s="57"/>
      <c r="AQ354" s="57"/>
      <c r="AR354" s="57"/>
    </row>
    <row r="355" spans="1:44" x14ac:dyDescent="0.2">
      <c r="A355" s="63" t="str">
        <f>IF(Teams&gt;=24, "4", "Hide")</f>
        <v>Hide</v>
      </c>
      <c r="B355" s="386"/>
      <c r="G355" s="68" t="s">
        <v>50</v>
      </c>
      <c r="H355" s="29"/>
      <c r="I355" s="246"/>
      <c r="K355" s="375">
        <f>RANK(M355,'Ballot Entry'!$M$321:$M$355,1)</f>
        <v>10</v>
      </c>
      <c r="L355" s="376">
        <f>RANK(N355,'Ballot Entry'!$N$321:$N$355,1)</f>
        <v>10</v>
      </c>
      <c r="M355" s="377">
        <f>IF(ISBLANK('Ballot Entry'!D423),9999,'Ballot Entry'!D423)</f>
        <v>9999</v>
      </c>
      <c r="N355" s="377">
        <f>IF(ISBLANK('Ballot Entry'!F423),9999,'Ballot Entry'!F423)</f>
        <v>9999</v>
      </c>
      <c r="O355" s="376">
        <f>IF('Ballot Entry'!H423="p",'Ballot Entry'!I423,'Ballot Entry'!I423*-1)</f>
        <v>0</v>
      </c>
      <c r="P355" s="376">
        <f>IF('Ballot Entry'!H424="p",'Ballot Entry'!I424,'Ballot Entry'!I424*-1)</f>
        <v>0</v>
      </c>
      <c r="Q355" s="381">
        <f>IF('Ballot Entry'!H425="p",'Ballot Entry'!I425,'Ballot Entry'!I425*-1)</f>
        <v>0</v>
      </c>
      <c r="R355" s="57"/>
      <c r="S355" s="57"/>
      <c r="T355" s="57"/>
      <c r="U355" s="57"/>
      <c r="V355" s="57"/>
      <c r="W355" s="57"/>
      <c r="X355" s="57"/>
      <c r="Y355" s="57"/>
      <c r="Z355" s="57"/>
      <c r="AA355" s="57"/>
      <c r="AB355" s="57"/>
      <c r="AC355" s="57"/>
      <c r="AD355" s="361"/>
      <c r="AE355" s="57"/>
      <c r="AF355" s="57"/>
      <c r="AG355" s="57"/>
      <c r="AH355" s="57"/>
      <c r="AI355" s="57"/>
      <c r="AJ355" s="57"/>
      <c r="AK355" s="57"/>
      <c r="AL355" s="57"/>
      <c r="AM355" s="57"/>
      <c r="AP355" s="57"/>
      <c r="AQ355" s="57"/>
      <c r="AR355" s="57"/>
    </row>
    <row r="356" spans="1:44" ht="13.5" thickBot="1" x14ac:dyDescent="0.25">
      <c r="A356" s="64" t="str">
        <f>IF(Teams&gt;=24, IF(Ballots = 3, "4", "Hide"), "Hide")</f>
        <v>Hide</v>
      </c>
      <c r="B356" s="388"/>
      <c r="C356" s="281"/>
      <c r="D356" s="282"/>
      <c r="E356" s="282"/>
      <c r="F356" s="77"/>
      <c r="G356" s="70" t="s">
        <v>51</v>
      </c>
      <c r="H356" s="30"/>
      <c r="I356" s="247"/>
      <c r="K356" s="370">
        <v>1</v>
      </c>
      <c r="L356" s="371">
        <f>MATCH(K356,'Ballot Entry'!$K$321:$K$355,0)</f>
        <v>4</v>
      </c>
      <c r="M356" s="372">
        <f t="shared" ref="M356:M390" si="49">INDEX(Round4,L356,3)</f>
        <v>1029</v>
      </c>
      <c r="N356" s="372">
        <f t="shared" ref="N356:N390" si="50">INDEX(Round4,$L356,4)</f>
        <v>1616</v>
      </c>
      <c r="O356" s="372">
        <f t="shared" ref="O356:O390" si="51">INDEX(Round4,$L356,5)</f>
        <v>-6</v>
      </c>
      <c r="P356" s="372">
        <f t="shared" ref="P356:P390" si="52">INDEX(Round4,$L356,6)</f>
        <v>-3</v>
      </c>
      <c r="Q356" s="373">
        <f t="shared" ref="Q356:Q390" si="53">INDEX(Round4,$L356,7)</f>
        <v>0</v>
      </c>
      <c r="R356" s="57"/>
      <c r="S356" s="57"/>
      <c r="T356" s="57"/>
      <c r="U356" s="57"/>
      <c r="V356" s="57"/>
      <c r="W356" s="57"/>
      <c r="X356" s="57"/>
      <c r="Y356" s="57"/>
      <c r="Z356" s="57"/>
      <c r="AA356" s="57"/>
      <c r="AB356" s="57"/>
      <c r="AC356" s="57"/>
      <c r="AD356" s="361"/>
      <c r="AE356" s="57"/>
      <c r="AF356" s="57"/>
      <c r="AG356" s="57"/>
      <c r="AH356" s="57"/>
      <c r="AI356" s="57"/>
      <c r="AJ356" s="57"/>
      <c r="AK356" s="57"/>
      <c r="AL356" s="57"/>
      <c r="AM356" s="57"/>
      <c r="AP356" s="57"/>
      <c r="AQ356" s="57"/>
      <c r="AR356" s="57"/>
    </row>
    <row r="357" spans="1:44" ht="15" thickTop="1" x14ac:dyDescent="0.3">
      <c r="A357" s="60" t="str">
        <f>IF(Teams&gt;=26, "4", "Hide")</f>
        <v>Hide</v>
      </c>
      <c r="B357" s="384">
        <f>B251</f>
        <v>0</v>
      </c>
      <c r="C357" s="276" t="s">
        <v>220</v>
      </c>
      <c r="D357" s="384"/>
      <c r="E357" s="276" t="s">
        <v>221</v>
      </c>
      <c r="F357" s="74"/>
      <c r="G357" s="67" t="s">
        <v>49</v>
      </c>
      <c r="H357" s="25"/>
      <c r="I357" s="242"/>
      <c r="K357" s="366">
        <v>2</v>
      </c>
      <c r="L357" s="367">
        <f>MATCH(K357,'Ballot Entry'!$K$321:$K$355,0)</f>
        <v>5</v>
      </c>
      <c r="M357" s="368">
        <f t="shared" si="49"/>
        <v>1051</v>
      </c>
      <c r="N357" s="368">
        <f t="shared" si="50"/>
        <v>1217</v>
      </c>
      <c r="O357" s="368">
        <f t="shared" si="51"/>
        <v>-16</v>
      </c>
      <c r="P357" s="368">
        <f t="shared" si="52"/>
        <v>-2</v>
      </c>
      <c r="Q357" s="374">
        <f t="shared" si="53"/>
        <v>0</v>
      </c>
      <c r="R357" s="57"/>
      <c r="S357" s="57"/>
      <c r="T357" s="57"/>
      <c r="U357" s="57"/>
      <c r="V357" s="57"/>
      <c r="W357" s="57"/>
      <c r="X357" s="57"/>
      <c r="Y357" s="57"/>
      <c r="Z357" s="57"/>
      <c r="AA357" s="57"/>
      <c r="AB357" s="57"/>
      <c r="AC357" s="57"/>
      <c r="AD357" s="361"/>
      <c r="AE357" s="57"/>
      <c r="AF357" s="57"/>
      <c r="AG357" s="57"/>
      <c r="AH357" s="57"/>
      <c r="AI357" s="57"/>
      <c r="AJ357" s="57"/>
      <c r="AK357" s="57"/>
      <c r="AL357" s="57"/>
      <c r="AM357" s="57"/>
      <c r="AP357" s="57"/>
      <c r="AQ357" s="57"/>
      <c r="AR357" s="57"/>
    </row>
    <row r="358" spans="1:44" x14ac:dyDescent="0.2">
      <c r="A358" s="61" t="str">
        <f>IF(Teams&gt;=26, "4", "Hide")</f>
        <v>Hide</v>
      </c>
      <c r="G358" s="68" t="s">
        <v>50</v>
      </c>
      <c r="H358" s="26"/>
      <c r="I358" s="243"/>
      <c r="K358" s="366">
        <v>3</v>
      </c>
      <c r="L358" s="367">
        <f>MATCH(K358,'Ballot Entry'!$K$321:$K$355,0)</f>
        <v>7</v>
      </c>
      <c r="M358" s="368">
        <f t="shared" si="49"/>
        <v>1078</v>
      </c>
      <c r="N358" s="368">
        <f t="shared" si="50"/>
        <v>1262</v>
      </c>
      <c r="O358" s="368">
        <f t="shared" si="51"/>
        <v>-2</v>
      </c>
      <c r="P358" s="368">
        <f t="shared" si="52"/>
        <v>2</v>
      </c>
      <c r="Q358" s="374">
        <f t="shared" si="53"/>
        <v>0</v>
      </c>
      <c r="R358" s="57"/>
      <c r="S358" s="57"/>
      <c r="T358" s="158"/>
      <c r="U358" s="57"/>
      <c r="V358" s="57"/>
      <c r="W358" s="57"/>
      <c r="X358" s="57"/>
      <c r="Y358" s="57"/>
      <c r="Z358" s="57"/>
      <c r="AA358" s="57"/>
      <c r="AB358" s="57"/>
      <c r="AC358" s="57"/>
      <c r="AD358" s="361"/>
      <c r="AE358" s="57"/>
      <c r="AF358" s="57"/>
      <c r="AG358" s="57"/>
      <c r="AH358" s="57"/>
      <c r="AI358" s="57"/>
      <c r="AJ358" s="57"/>
      <c r="AK358" s="57"/>
      <c r="AL358" s="57"/>
      <c r="AM358" s="57"/>
      <c r="AP358" s="57"/>
      <c r="AQ358" s="57"/>
      <c r="AR358" s="57"/>
    </row>
    <row r="359" spans="1:44" ht="13.5" thickBot="1" x14ac:dyDescent="0.25">
      <c r="A359" s="61" t="str">
        <f>IF(Teams&gt;=26, IF(Ballots = 3, "4", "Hide"), "Hide")</f>
        <v>Hide</v>
      </c>
      <c r="B359" s="386"/>
      <c r="C359" s="277"/>
      <c r="D359" s="278"/>
      <c r="E359" s="278"/>
      <c r="F359" s="75"/>
      <c r="G359" s="68" t="s">
        <v>51</v>
      </c>
      <c r="H359" s="27"/>
      <c r="I359" s="244"/>
      <c r="K359" s="366">
        <v>4</v>
      </c>
      <c r="L359" s="367">
        <f>MATCH(K359,'Ballot Entry'!$K$321:$K$355,0)</f>
        <v>8</v>
      </c>
      <c r="M359" s="368">
        <f t="shared" si="49"/>
        <v>1224</v>
      </c>
      <c r="N359" s="368">
        <f t="shared" si="50"/>
        <v>1693</v>
      </c>
      <c r="O359" s="368">
        <f t="shared" si="51"/>
        <v>1</v>
      </c>
      <c r="P359" s="368">
        <f t="shared" si="52"/>
        <v>6</v>
      </c>
      <c r="Q359" s="374">
        <f t="shared" si="53"/>
        <v>0</v>
      </c>
      <c r="R359" s="57"/>
      <c r="S359" s="57"/>
      <c r="T359" s="57"/>
      <c r="U359" s="57"/>
      <c r="V359" s="57"/>
      <c r="W359" s="57"/>
      <c r="X359" s="57"/>
      <c r="Y359" s="57"/>
      <c r="Z359" s="57"/>
      <c r="AA359" s="57"/>
      <c r="AB359" s="57"/>
      <c r="AC359" s="57"/>
      <c r="AD359" s="361"/>
      <c r="AE359" s="57"/>
      <c r="AF359" s="57"/>
      <c r="AG359" s="57"/>
      <c r="AH359" s="57"/>
      <c r="AI359" s="57"/>
      <c r="AJ359" s="57"/>
      <c r="AK359" s="57"/>
      <c r="AL359" s="57"/>
      <c r="AM359" s="57"/>
      <c r="AP359" s="57"/>
      <c r="AQ359" s="57"/>
      <c r="AR359" s="57"/>
    </row>
    <row r="360" spans="1:44" ht="15" thickTop="1" x14ac:dyDescent="0.3">
      <c r="A360" s="62" t="str">
        <f>IF(Teams&gt;=28, "4", "Hide")</f>
        <v>Hide</v>
      </c>
      <c r="B360" s="387">
        <f>B254</f>
        <v>0</v>
      </c>
      <c r="C360" s="279" t="s">
        <v>220</v>
      </c>
      <c r="D360" s="280"/>
      <c r="E360" s="279" t="s">
        <v>221</v>
      </c>
      <c r="F360" s="76"/>
      <c r="G360" s="69" t="s">
        <v>49</v>
      </c>
      <c r="H360" s="28"/>
      <c r="I360" s="245"/>
      <c r="K360" s="366">
        <v>5</v>
      </c>
      <c r="L360" s="367">
        <f>MATCH(K360,'Ballot Entry'!$K$321:$K$355,0)</f>
        <v>2</v>
      </c>
      <c r="M360" s="368">
        <f t="shared" si="49"/>
        <v>1410</v>
      </c>
      <c r="N360" s="368">
        <f t="shared" si="50"/>
        <v>1489</v>
      </c>
      <c r="O360" s="368">
        <f t="shared" si="51"/>
        <v>20</v>
      </c>
      <c r="P360" s="368">
        <f t="shared" si="52"/>
        <v>2</v>
      </c>
      <c r="Q360" s="374">
        <f t="shared" si="53"/>
        <v>0</v>
      </c>
      <c r="R360" s="57"/>
      <c r="S360" s="57"/>
      <c r="T360" s="57"/>
      <c r="U360" s="57"/>
      <c r="V360" s="57"/>
      <c r="W360" s="57"/>
      <c r="X360" s="57"/>
      <c r="Y360" s="57"/>
      <c r="Z360" s="57"/>
      <c r="AA360" s="57"/>
      <c r="AB360" s="57"/>
      <c r="AC360" s="57"/>
      <c r="AD360" s="361"/>
      <c r="AE360" s="57"/>
      <c r="AF360" s="57"/>
      <c r="AG360" s="57"/>
      <c r="AH360" s="57"/>
      <c r="AI360" s="57"/>
      <c r="AJ360" s="57"/>
      <c r="AK360" s="57"/>
      <c r="AL360" s="57"/>
      <c r="AM360" s="57"/>
      <c r="AP360" s="57"/>
      <c r="AQ360" s="57"/>
      <c r="AR360" s="57"/>
    </row>
    <row r="361" spans="1:44" x14ac:dyDescent="0.2">
      <c r="A361" s="63" t="str">
        <f>IF(Teams&gt;=28, "4", "Hide")</f>
        <v>Hide</v>
      </c>
      <c r="B361" s="386"/>
      <c r="G361" s="68" t="s">
        <v>50</v>
      </c>
      <c r="H361" s="29"/>
      <c r="I361" s="246"/>
      <c r="K361" s="366">
        <v>6</v>
      </c>
      <c r="L361" s="367">
        <f>MATCH(K361,'Ballot Entry'!$K$321:$K$355,0)</f>
        <v>6</v>
      </c>
      <c r="M361" s="368">
        <f t="shared" si="49"/>
        <v>1492</v>
      </c>
      <c r="N361" s="368">
        <f t="shared" si="50"/>
        <v>1258</v>
      </c>
      <c r="O361" s="368">
        <f t="shared" si="51"/>
        <v>-18</v>
      </c>
      <c r="P361" s="368">
        <f t="shared" si="52"/>
        <v>4</v>
      </c>
      <c r="Q361" s="374">
        <f t="shared" si="53"/>
        <v>0</v>
      </c>
      <c r="R361" s="57"/>
      <c r="S361" s="57"/>
      <c r="T361" s="57"/>
      <c r="U361" s="57"/>
      <c r="V361" s="57"/>
      <c r="W361" s="57"/>
      <c r="X361" s="57"/>
      <c r="Y361" s="57"/>
      <c r="Z361" s="57"/>
      <c r="AA361" s="57"/>
      <c r="AB361" s="57"/>
      <c r="AC361" s="57"/>
      <c r="AD361" s="361"/>
      <c r="AE361" s="57"/>
      <c r="AF361" s="57"/>
      <c r="AG361" s="57"/>
      <c r="AH361" s="57"/>
      <c r="AI361" s="57"/>
      <c r="AJ361" s="57"/>
      <c r="AK361" s="57"/>
      <c r="AL361" s="57"/>
      <c r="AM361" s="57"/>
      <c r="AP361" s="57"/>
      <c r="AQ361" s="57"/>
      <c r="AR361" s="57"/>
    </row>
    <row r="362" spans="1:44" ht="13.5" thickBot="1" x14ac:dyDescent="0.25">
      <c r="A362" s="64" t="str">
        <f>IF(Teams&gt;=28, IF(Ballots = 3, "4", "Hide"), "Hide")</f>
        <v>Hide</v>
      </c>
      <c r="B362" s="388"/>
      <c r="C362" s="281"/>
      <c r="D362" s="282"/>
      <c r="E362" s="282"/>
      <c r="F362" s="77"/>
      <c r="G362" s="70" t="s">
        <v>51</v>
      </c>
      <c r="H362" s="30"/>
      <c r="I362" s="247"/>
      <c r="K362" s="366">
        <v>7</v>
      </c>
      <c r="L362" s="367">
        <f>MATCH(K362,'Ballot Entry'!$K$321:$K$355,0)</f>
        <v>1</v>
      </c>
      <c r="M362" s="368">
        <f t="shared" si="49"/>
        <v>1506</v>
      </c>
      <c r="N362" s="368">
        <f t="shared" si="50"/>
        <v>1001</v>
      </c>
      <c r="O362" s="368">
        <f t="shared" si="51"/>
        <v>10</v>
      </c>
      <c r="P362" s="368">
        <f t="shared" si="52"/>
        <v>1</v>
      </c>
      <c r="Q362" s="374">
        <f t="shared" si="53"/>
        <v>0</v>
      </c>
      <c r="R362" s="57"/>
      <c r="S362" s="57"/>
      <c r="T362" s="57"/>
      <c r="U362" s="57"/>
      <c r="V362" s="57"/>
      <c r="W362" s="57"/>
      <c r="X362" s="57"/>
      <c r="Y362" s="57"/>
      <c r="Z362" s="57"/>
      <c r="AA362" s="57"/>
      <c r="AB362" s="57"/>
      <c r="AC362" s="57"/>
      <c r="AD362" s="361"/>
      <c r="AE362" s="57"/>
      <c r="AF362" s="57"/>
      <c r="AG362" s="57"/>
      <c r="AH362" s="57"/>
      <c r="AI362" s="57"/>
      <c r="AJ362" s="57"/>
      <c r="AK362" s="57"/>
      <c r="AL362" s="57"/>
      <c r="AM362" s="57"/>
      <c r="AP362" s="57"/>
      <c r="AQ362" s="57"/>
      <c r="AR362" s="57"/>
    </row>
    <row r="363" spans="1:44" ht="15" thickTop="1" x14ac:dyDescent="0.3">
      <c r="A363" s="60" t="str">
        <f>IF(Teams&gt;=30, "4", "Hide")</f>
        <v>Hide</v>
      </c>
      <c r="B363" s="384">
        <f>B257</f>
        <v>0</v>
      </c>
      <c r="C363" s="276" t="s">
        <v>220</v>
      </c>
      <c r="D363" s="384"/>
      <c r="E363" s="276" t="s">
        <v>221</v>
      </c>
      <c r="F363" s="74"/>
      <c r="G363" s="67" t="s">
        <v>49</v>
      </c>
      <c r="H363" s="25"/>
      <c r="I363" s="242"/>
      <c r="K363" s="366">
        <v>8</v>
      </c>
      <c r="L363" s="367">
        <f>MATCH(K363,'Ballot Entry'!$K$321:$K$355,0)</f>
        <v>9</v>
      </c>
      <c r="M363" s="368">
        <f t="shared" si="49"/>
        <v>1557</v>
      </c>
      <c r="N363" s="368">
        <f t="shared" si="50"/>
        <v>1268</v>
      </c>
      <c r="O363" s="368">
        <f t="shared" si="51"/>
        <v>-6</v>
      </c>
      <c r="P363" s="368">
        <f t="shared" si="52"/>
        <v>-16</v>
      </c>
      <c r="Q363" s="374">
        <f t="shared" si="53"/>
        <v>0</v>
      </c>
      <c r="R363" s="57"/>
      <c r="S363" s="57"/>
      <c r="T363" s="57"/>
      <c r="U363" s="57"/>
      <c r="V363" s="57"/>
      <c r="W363" s="57"/>
      <c r="X363" s="57"/>
      <c r="Y363" s="57"/>
      <c r="Z363" s="57"/>
      <c r="AA363" s="57"/>
      <c r="AB363" s="57"/>
      <c r="AC363" s="57"/>
      <c r="AD363" s="361"/>
      <c r="AE363" s="57"/>
      <c r="AF363" s="57"/>
      <c r="AG363" s="57"/>
      <c r="AH363" s="57"/>
      <c r="AI363" s="57"/>
      <c r="AJ363" s="57"/>
      <c r="AK363" s="57"/>
      <c r="AL363" s="57"/>
      <c r="AM363" s="57"/>
      <c r="AP363" s="57"/>
      <c r="AQ363" s="57"/>
      <c r="AR363" s="57"/>
    </row>
    <row r="364" spans="1:44" x14ac:dyDescent="0.2">
      <c r="A364" s="61" t="str">
        <f>IF(Teams&gt;=30, "4", "Hide")</f>
        <v>Hide</v>
      </c>
      <c r="G364" s="68" t="s">
        <v>50</v>
      </c>
      <c r="H364" s="26"/>
      <c r="I364" s="243"/>
      <c r="K364" s="366">
        <v>9</v>
      </c>
      <c r="L364" s="367">
        <f>MATCH(K364,'Ballot Entry'!$K$321:$K$355,0)</f>
        <v>3</v>
      </c>
      <c r="M364" s="368">
        <f t="shared" si="49"/>
        <v>1577</v>
      </c>
      <c r="N364" s="368">
        <f t="shared" si="50"/>
        <v>1517</v>
      </c>
      <c r="O364" s="368">
        <f t="shared" si="51"/>
        <v>10</v>
      </c>
      <c r="P364" s="368">
        <f t="shared" si="52"/>
        <v>4</v>
      </c>
      <c r="Q364" s="374">
        <f t="shared" si="53"/>
        <v>0</v>
      </c>
      <c r="R364" s="57"/>
      <c r="S364" s="57"/>
      <c r="T364" s="57"/>
      <c r="U364" s="57"/>
      <c r="V364" s="57"/>
      <c r="W364" s="57"/>
      <c r="X364" s="57"/>
      <c r="Y364" s="57"/>
      <c r="Z364" s="57"/>
      <c r="AA364" s="57"/>
      <c r="AB364" s="57"/>
      <c r="AC364" s="57"/>
      <c r="AD364" s="361"/>
      <c r="AE364" s="57"/>
      <c r="AF364" s="57"/>
      <c r="AG364" s="57"/>
      <c r="AH364" s="57"/>
      <c r="AI364" s="57"/>
      <c r="AJ364" s="57"/>
      <c r="AK364" s="57"/>
      <c r="AL364" s="57"/>
      <c r="AM364" s="57"/>
      <c r="AP364" s="57"/>
      <c r="AQ364" s="57"/>
      <c r="AR364" s="57"/>
    </row>
    <row r="365" spans="1:44" ht="13.5" thickBot="1" x14ac:dyDescent="0.25">
      <c r="A365" s="61" t="str">
        <f>IF(Teams&gt;=30, IF(Ballots = 3, "4", "Hide"), "Hide")</f>
        <v>Hide</v>
      </c>
      <c r="B365" s="386"/>
      <c r="C365" s="277"/>
      <c r="D365" s="278"/>
      <c r="E365" s="278"/>
      <c r="F365" s="75"/>
      <c r="G365" s="68" t="s">
        <v>51</v>
      </c>
      <c r="H365" s="27"/>
      <c r="I365" s="244"/>
      <c r="K365" s="366">
        <v>10</v>
      </c>
      <c r="L365" s="367">
        <f>MATCH(K365,'Ballot Entry'!$K$321:$K$355,0)</f>
        <v>10</v>
      </c>
      <c r="M365" s="368">
        <f t="shared" si="49"/>
        <v>9999</v>
      </c>
      <c r="N365" s="368">
        <f t="shared" si="50"/>
        <v>9999</v>
      </c>
      <c r="O365" s="368">
        <f t="shared" si="51"/>
        <v>0</v>
      </c>
      <c r="P365" s="368">
        <f t="shared" si="52"/>
        <v>0</v>
      </c>
      <c r="Q365" s="374">
        <f t="shared" si="53"/>
        <v>0</v>
      </c>
      <c r="R365" s="57"/>
      <c r="S365" s="57"/>
      <c r="T365" s="57"/>
      <c r="U365" s="57"/>
      <c r="V365" s="57"/>
      <c r="W365" s="57"/>
      <c r="X365" s="57"/>
      <c r="Y365" s="57"/>
      <c r="Z365" s="57"/>
      <c r="AA365" s="57"/>
      <c r="AB365" s="57"/>
      <c r="AC365" s="57"/>
      <c r="AD365" s="361"/>
      <c r="AE365" s="57"/>
      <c r="AF365" s="57"/>
      <c r="AG365" s="57"/>
      <c r="AH365" s="57"/>
      <c r="AI365" s="57"/>
      <c r="AJ365" s="57"/>
      <c r="AK365" s="57"/>
      <c r="AL365" s="57"/>
      <c r="AM365" s="57"/>
      <c r="AP365" s="57"/>
      <c r="AQ365" s="57"/>
      <c r="AR365" s="57"/>
    </row>
    <row r="366" spans="1:44" ht="15" thickTop="1" x14ac:dyDescent="0.3">
      <c r="A366" s="62" t="str">
        <f>IF(Teams&gt;=32, "4", "Hide")</f>
        <v>Hide</v>
      </c>
      <c r="B366" s="387">
        <f>B260</f>
        <v>0</v>
      </c>
      <c r="C366" s="279" t="s">
        <v>220</v>
      </c>
      <c r="D366" s="280"/>
      <c r="E366" s="279" t="s">
        <v>221</v>
      </c>
      <c r="F366" s="76"/>
      <c r="G366" s="69" t="s">
        <v>49</v>
      </c>
      <c r="H366" s="28"/>
      <c r="I366" s="245"/>
      <c r="K366" s="366">
        <v>11</v>
      </c>
      <c r="L366" s="367" t="e">
        <f>MATCH(K366,'Ballot Entry'!$K$321:$K$355,0)</f>
        <v>#N/A</v>
      </c>
      <c r="M366" s="368" t="e">
        <f t="shared" si="49"/>
        <v>#N/A</v>
      </c>
      <c r="N366" s="368" t="e">
        <f t="shared" si="50"/>
        <v>#N/A</v>
      </c>
      <c r="O366" s="368" t="e">
        <f t="shared" si="51"/>
        <v>#N/A</v>
      </c>
      <c r="P366" s="368" t="e">
        <f t="shared" si="52"/>
        <v>#N/A</v>
      </c>
      <c r="Q366" s="374" t="e">
        <f t="shared" si="53"/>
        <v>#N/A</v>
      </c>
      <c r="R366" s="57"/>
      <c r="S366" s="57"/>
      <c r="T366" s="57"/>
      <c r="U366" s="57"/>
      <c r="V366" s="57"/>
      <c r="W366" s="57"/>
      <c r="X366" s="57"/>
      <c r="Y366" s="57"/>
      <c r="Z366" s="57"/>
      <c r="AA366" s="57"/>
      <c r="AB366" s="57"/>
      <c r="AC366" s="57"/>
      <c r="AD366" s="361"/>
      <c r="AE366" s="57"/>
      <c r="AF366" s="57"/>
      <c r="AG366" s="57"/>
      <c r="AH366" s="57"/>
      <c r="AI366" s="57"/>
      <c r="AJ366" s="57"/>
      <c r="AK366" s="57"/>
      <c r="AL366" s="57"/>
      <c r="AM366" s="57"/>
      <c r="AP366" s="57"/>
      <c r="AQ366" s="57"/>
      <c r="AR366" s="57"/>
    </row>
    <row r="367" spans="1:44" x14ac:dyDescent="0.2">
      <c r="A367" s="63" t="str">
        <f>IF(Teams&gt;=32, "4", "Hide")</f>
        <v>Hide</v>
      </c>
      <c r="B367" s="386"/>
      <c r="G367" s="68" t="s">
        <v>50</v>
      </c>
      <c r="H367" s="29"/>
      <c r="I367" s="246"/>
      <c r="K367" s="366">
        <v>12</v>
      </c>
      <c r="L367" s="367" t="e">
        <f>MATCH(K367,'Ballot Entry'!$K$321:$K$355,0)</f>
        <v>#N/A</v>
      </c>
      <c r="M367" s="368" t="e">
        <f t="shared" si="49"/>
        <v>#N/A</v>
      </c>
      <c r="N367" s="368" t="e">
        <f t="shared" si="50"/>
        <v>#N/A</v>
      </c>
      <c r="O367" s="368" t="e">
        <f t="shared" si="51"/>
        <v>#N/A</v>
      </c>
      <c r="P367" s="368" t="e">
        <f t="shared" si="52"/>
        <v>#N/A</v>
      </c>
      <c r="Q367" s="374" t="e">
        <f t="shared" si="53"/>
        <v>#N/A</v>
      </c>
      <c r="R367" s="57"/>
      <c r="S367" s="57"/>
      <c r="T367" s="57"/>
      <c r="U367" s="57"/>
      <c r="V367" s="57"/>
      <c r="W367" s="57"/>
      <c r="X367" s="57"/>
      <c r="Y367" s="57"/>
      <c r="Z367" s="57"/>
      <c r="AA367" s="57"/>
      <c r="AB367" s="57"/>
      <c r="AC367" s="57"/>
      <c r="AD367" s="361"/>
      <c r="AE367" s="57"/>
      <c r="AF367" s="57"/>
      <c r="AG367" s="57"/>
      <c r="AH367" s="57"/>
      <c r="AI367" s="57"/>
      <c r="AJ367" s="57"/>
      <c r="AK367" s="57"/>
      <c r="AL367" s="57"/>
      <c r="AM367" s="57"/>
      <c r="AP367" s="57"/>
      <c r="AQ367" s="57"/>
      <c r="AR367" s="57"/>
    </row>
    <row r="368" spans="1:44" ht="13.5" thickBot="1" x14ac:dyDescent="0.25">
      <c r="A368" s="64" t="str">
        <f>IF(Teams&gt;=32, IF(Ballots = 3, "4", "Hide"), "Hide")</f>
        <v>Hide</v>
      </c>
      <c r="B368" s="388"/>
      <c r="C368" s="281"/>
      <c r="D368" s="282"/>
      <c r="E368" s="282"/>
      <c r="F368" s="77"/>
      <c r="G368" s="70" t="s">
        <v>51</v>
      </c>
      <c r="H368" s="30"/>
      <c r="I368" s="247"/>
      <c r="K368" s="366">
        <v>13</v>
      </c>
      <c r="L368" s="367" t="e">
        <f>MATCH(K368,'Ballot Entry'!$K$321:$K$355,0)</f>
        <v>#N/A</v>
      </c>
      <c r="M368" s="368" t="e">
        <f t="shared" si="49"/>
        <v>#N/A</v>
      </c>
      <c r="N368" s="368" t="e">
        <f t="shared" si="50"/>
        <v>#N/A</v>
      </c>
      <c r="O368" s="368" t="e">
        <f t="shared" si="51"/>
        <v>#N/A</v>
      </c>
      <c r="P368" s="368" t="e">
        <f t="shared" si="52"/>
        <v>#N/A</v>
      </c>
      <c r="Q368" s="374" t="e">
        <f t="shared" si="53"/>
        <v>#N/A</v>
      </c>
      <c r="R368" s="57"/>
      <c r="S368" s="57"/>
      <c r="T368" s="57"/>
      <c r="U368" s="57"/>
      <c r="V368" s="57"/>
      <c r="W368" s="57"/>
      <c r="X368" s="57"/>
      <c r="Y368" s="57"/>
      <c r="Z368" s="57"/>
      <c r="AA368" s="57"/>
      <c r="AB368" s="57"/>
      <c r="AC368" s="57"/>
      <c r="AD368" s="361"/>
      <c r="AE368" s="57"/>
      <c r="AF368" s="57"/>
      <c r="AG368" s="57"/>
      <c r="AH368" s="57"/>
      <c r="AI368" s="57"/>
      <c r="AJ368" s="57"/>
      <c r="AK368" s="57"/>
      <c r="AL368" s="57"/>
      <c r="AM368" s="57"/>
      <c r="AP368" s="57"/>
      <c r="AQ368" s="57"/>
      <c r="AR368" s="57"/>
    </row>
    <row r="369" spans="1:44" ht="15" thickTop="1" x14ac:dyDescent="0.3">
      <c r="A369" s="60" t="str">
        <f>IF(Teams&gt;=34, "4", "Hide")</f>
        <v>Hide</v>
      </c>
      <c r="B369" s="384">
        <f>B263</f>
        <v>0</v>
      </c>
      <c r="C369" s="276" t="s">
        <v>220</v>
      </c>
      <c r="D369" s="384"/>
      <c r="E369" s="276" t="s">
        <v>221</v>
      </c>
      <c r="F369" s="74"/>
      <c r="G369" s="67" t="s">
        <v>49</v>
      </c>
      <c r="H369" s="25"/>
      <c r="I369" s="242"/>
      <c r="K369" s="366">
        <v>14</v>
      </c>
      <c r="L369" s="367" t="e">
        <f>MATCH(K369,'Ballot Entry'!$K$321:$K$355,0)</f>
        <v>#N/A</v>
      </c>
      <c r="M369" s="368" t="e">
        <f t="shared" si="49"/>
        <v>#N/A</v>
      </c>
      <c r="N369" s="368" t="e">
        <f t="shared" si="50"/>
        <v>#N/A</v>
      </c>
      <c r="O369" s="368" t="e">
        <f t="shared" si="51"/>
        <v>#N/A</v>
      </c>
      <c r="P369" s="368" t="e">
        <f t="shared" si="52"/>
        <v>#N/A</v>
      </c>
      <c r="Q369" s="374" t="e">
        <f t="shared" si="53"/>
        <v>#N/A</v>
      </c>
      <c r="R369" s="57"/>
      <c r="S369" s="57"/>
      <c r="T369" s="57"/>
      <c r="U369" s="57"/>
      <c r="V369" s="57"/>
      <c r="W369" s="57"/>
      <c r="X369" s="57"/>
      <c r="Y369" s="57"/>
      <c r="Z369" s="57"/>
      <c r="AA369" s="57"/>
      <c r="AB369" s="57"/>
      <c r="AC369" s="57"/>
      <c r="AD369" s="361"/>
      <c r="AE369" s="57"/>
      <c r="AF369" s="57"/>
      <c r="AG369" s="57"/>
      <c r="AH369" s="57"/>
      <c r="AI369" s="57"/>
      <c r="AJ369" s="57"/>
      <c r="AK369" s="57"/>
      <c r="AL369" s="57"/>
      <c r="AM369" s="57"/>
      <c r="AP369" s="57"/>
      <c r="AQ369" s="57"/>
      <c r="AR369" s="57"/>
    </row>
    <row r="370" spans="1:44" x14ac:dyDescent="0.2">
      <c r="A370" s="61" t="str">
        <f>IF(Teams&gt;=34, "4", "Hide")</f>
        <v>Hide</v>
      </c>
      <c r="G370" s="68" t="s">
        <v>50</v>
      </c>
      <c r="H370" s="26"/>
      <c r="I370" s="243"/>
      <c r="K370" s="366">
        <v>15</v>
      </c>
      <c r="L370" s="367" t="e">
        <f>MATCH(K370,'Ballot Entry'!$K$321:$K$355,0)</f>
        <v>#N/A</v>
      </c>
      <c r="M370" s="368" t="e">
        <f t="shared" si="49"/>
        <v>#N/A</v>
      </c>
      <c r="N370" s="368" t="e">
        <f t="shared" si="50"/>
        <v>#N/A</v>
      </c>
      <c r="O370" s="368" t="e">
        <f t="shared" si="51"/>
        <v>#N/A</v>
      </c>
      <c r="P370" s="368" t="e">
        <f t="shared" si="52"/>
        <v>#N/A</v>
      </c>
      <c r="Q370" s="374" t="e">
        <f t="shared" si="53"/>
        <v>#N/A</v>
      </c>
      <c r="R370" s="57"/>
      <c r="S370" s="57"/>
      <c r="T370" s="57"/>
      <c r="U370" s="57"/>
      <c r="V370" s="57"/>
      <c r="W370" s="57"/>
      <c r="X370" s="57"/>
      <c r="Y370" s="57"/>
      <c r="Z370" s="57"/>
      <c r="AA370" s="57"/>
      <c r="AB370" s="57"/>
      <c r="AC370" s="57"/>
      <c r="AD370" s="361"/>
      <c r="AE370" s="57"/>
      <c r="AF370" s="57"/>
      <c r="AG370" s="57"/>
      <c r="AH370" s="57"/>
      <c r="AI370" s="57"/>
      <c r="AJ370" s="57"/>
      <c r="AK370" s="57"/>
      <c r="AL370" s="57"/>
      <c r="AM370" s="57"/>
      <c r="AP370" s="57"/>
      <c r="AQ370" s="57"/>
      <c r="AR370" s="57"/>
    </row>
    <row r="371" spans="1:44" ht="13.5" thickBot="1" x14ac:dyDescent="0.25">
      <c r="A371" s="61" t="str">
        <f>IF(Teams&gt;=34, IF(Ballots = 3, "4", "Hide"), "Hide")</f>
        <v>Hide</v>
      </c>
      <c r="B371" s="386"/>
      <c r="C371" s="277"/>
      <c r="D371" s="278"/>
      <c r="E371" s="278"/>
      <c r="F371" s="75"/>
      <c r="G371" s="68" t="s">
        <v>51</v>
      </c>
      <c r="H371" s="27"/>
      <c r="I371" s="244"/>
      <c r="K371" s="366">
        <v>16</v>
      </c>
      <c r="L371" s="367" t="e">
        <f>MATCH(K371,'Ballot Entry'!$K$321:$K$355,0)</f>
        <v>#N/A</v>
      </c>
      <c r="M371" s="368" t="e">
        <f t="shared" si="49"/>
        <v>#N/A</v>
      </c>
      <c r="N371" s="368" t="e">
        <f t="shared" si="50"/>
        <v>#N/A</v>
      </c>
      <c r="O371" s="368" t="e">
        <f t="shared" si="51"/>
        <v>#N/A</v>
      </c>
      <c r="P371" s="368" t="e">
        <f t="shared" si="52"/>
        <v>#N/A</v>
      </c>
      <c r="Q371" s="374" t="e">
        <f t="shared" si="53"/>
        <v>#N/A</v>
      </c>
      <c r="R371" s="57"/>
      <c r="S371" s="57"/>
      <c r="T371" s="57"/>
      <c r="U371" s="57"/>
      <c r="V371" s="57"/>
      <c r="W371" s="57"/>
      <c r="X371" s="57"/>
      <c r="Y371" s="57"/>
      <c r="Z371" s="57"/>
      <c r="AA371" s="57"/>
      <c r="AB371" s="57"/>
      <c r="AC371" s="57"/>
      <c r="AD371" s="361"/>
      <c r="AE371" s="57"/>
      <c r="AF371" s="57"/>
      <c r="AG371" s="57"/>
      <c r="AH371" s="57"/>
      <c r="AI371" s="57"/>
      <c r="AJ371" s="57"/>
      <c r="AK371" s="57"/>
      <c r="AL371" s="57"/>
      <c r="AM371" s="57"/>
      <c r="AP371" s="57"/>
      <c r="AQ371" s="57"/>
      <c r="AR371" s="57"/>
    </row>
    <row r="372" spans="1:44" ht="15" thickTop="1" x14ac:dyDescent="0.3">
      <c r="A372" s="62" t="str">
        <f>IF(Teams&gt;=36, "4", "Hide")</f>
        <v>Hide</v>
      </c>
      <c r="B372" s="387">
        <f>B266</f>
        <v>0</v>
      </c>
      <c r="C372" s="279" t="s">
        <v>220</v>
      </c>
      <c r="D372" s="280"/>
      <c r="E372" s="279" t="s">
        <v>221</v>
      </c>
      <c r="F372" s="76"/>
      <c r="G372" s="69" t="s">
        <v>49</v>
      </c>
      <c r="H372" s="28"/>
      <c r="I372" s="245"/>
      <c r="K372" s="366">
        <v>17</v>
      </c>
      <c r="L372" s="367" t="e">
        <f>MATCH(K372,'Ballot Entry'!$K$321:$K$355,0)</f>
        <v>#N/A</v>
      </c>
      <c r="M372" s="368" t="e">
        <f t="shared" si="49"/>
        <v>#N/A</v>
      </c>
      <c r="N372" s="368" t="e">
        <f t="shared" si="50"/>
        <v>#N/A</v>
      </c>
      <c r="O372" s="368" t="e">
        <f t="shared" si="51"/>
        <v>#N/A</v>
      </c>
      <c r="P372" s="368" t="e">
        <f t="shared" si="52"/>
        <v>#N/A</v>
      </c>
      <c r="Q372" s="374" t="e">
        <f t="shared" si="53"/>
        <v>#N/A</v>
      </c>
      <c r="R372" s="57"/>
      <c r="S372" s="57"/>
      <c r="T372" s="57"/>
      <c r="U372" s="57"/>
      <c r="V372" s="57"/>
      <c r="W372" s="57"/>
      <c r="X372" s="57"/>
      <c r="Y372" s="57"/>
      <c r="Z372" s="57"/>
      <c r="AA372" s="57"/>
      <c r="AB372" s="57"/>
      <c r="AC372" s="57"/>
      <c r="AD372" s="361"/>
      <c r="AE372" s="57"/>
      <c r="AF372" s="57"/>
      <c r="AG372" s="57"/>
      <c r="AH372" s="57"/>
      <c r="AI372" s="57"/>
      <c r="AJ372" s="57"/>
      <c r="AK372" s="57"/>
      <c r="AL372" s="57"/>
      <c r="AM372" s="57"/>
      <c r="AP372" s="57"/>
      <c r="AQ372" s="57"/>
      <c r="AR372" s="57"/>
    </row>
    <row r="373" spans="1:44" x14ac:dyDescent="0.2">
      <c r="A373" s="63" t="str">
        <f>IF(Teams&gt;=36, "4", "Hide")</f>
        <v>Hide</v>
      </c>
      <c r="B373" s="386"/>
      <c r="G373" s="68" t="s">
        <v>50</v>
      </c>
      <c r="H373" s="29"/>
      <c r="I373" s="246"/>
      <c r="K373" s="366">
        <v>18</v>
      </c>
      <c r="L373" s="367" t="e">
        <f>MATCH(K373,'Ballot Entry'!$K$321:$K$355,0)</f>
        <v>#N/A</v>
      </c>
      <c r="M373" s="368" t="e">
        <f t="shared" si="49"/>
        <v>#N/A</v>
      </c>
      <c r="N373" s="368" t="e">
        <f t="shared" si="50"/>
        <v>#N/A</v>
      </c>
      <c r="O373" s="368" t="e">
        <f t="shared" si="51"/>
        <v>#N/A</v>
      </c>
      <c r="P373" s="368" t="e">
        <f t="shared" si="52"/>
        <v>#N/A</v>
      </c>
      <c r="Q373" s="374" t="e">
        <f t="shared" si="53"/>
        <v>#N/A</v>
      </c>
      <c r="R373" s="57"/>
      <c r="S373" s="57"/>
      <c r="T373" s="57"/>
      <c r="U373" s="57"/>
      <c r="V373" s="57"/>
      <c r="W373" s="57"/>
      <c r="X373" s="57"/>
      <c r="Y373" s="57"/>
      <c r="Z373" s="57"/>
      <c r="AA373" s="57"/>
      <c r="AB373" s="57"/>
      <c r="AC373" s="57"/>
      <c r="AD373" s="361"/>
      <c r="AE373" s="57"/>
      <c r="AF373" s="57"/>
      <c r="AG373" s="57"/>
      <c r="AH373" s="57"/>
      <c r="AI373" s="57"/>
      <c r="AJ373" s="57"/>
      <c r="AK373" s="57"/>
      <c r="AL373" s="57"/>
      <c r="AM373" s="57"/>
      <c r="AP373" s="57"/>
      <c r="AQ373" s="57"/>
      <c r="AR373" s="57"/>
    </row>
    <row r="374" spans="1:44" ht="13.5" thickBot="1" x14ac:dyDescent="0.25">
      <c r="A374" s="64" t="str">
        <f>IF(Teams&gt;=36, IF(Ballots = 3, "4", "Hide"), "Hide")</f>
        <v>Hide</v>
      </c>
      <c r="B374" s="388"/>
      <c r="C374" s="281"/>
      <c r="D374" s="282"/>
      <c r="E374" s="282"/>
      <c r="F374" s="77"/>
      <c r="G374" s="70" t="s">
        <v>51</v>
      </c>
      <c r="H374" s="30"/>
      <c r="I374" s="247"/>
      <c r="K374" s="366">
        <v>19</v>
      </c>
      <c r="L374" s="367" t="e">
        <f>MATCH(K374,'Ballot Entry'!$K$321:$K$355,0)</f>
        <v>#N/A</v>
      </c>
      <c r="M374" s="368" t="e">
        <f t="shared" si="49"/>
        <v>#N/A</v>
      </c>
      <c r="N374" s="368" t="e">
        <f t="shared" si="50"/>
        <v>#N/A</v>
      </c>
      <c r="O374" s="368" t="e">
        <f t="shared" si="51"/>
        <v>#N/A</v>
      </c>
      <c r="P374" s="368" t="e">
        <f t="shared" si="52"/>
        <v>#N/A</v>
      </c>
      <c r="Q374" s="374" t="e">
        <f t="shared" si="53"/>
        <v>#N/A</v>
      </c>
      <c r="R374" s="57"/>
      <c r="S374" s="57"/>
      <c r="T374" s="57"/>
      <c r="U374" s="57"/>
      <c r="V374" s="57"/>
      <c r="W374" s="57"/>
      <c r="X374" s="57"/>
      <c r="Y374" s="57"/>
      <c r="Z374" s="57"/>
      <c r="AA374" s="57"/>
      <c r="AB374" s="57"/>
      <c r="AC374" s="57"/>
      <c r="AD374" s="361"/>
      <c r="AE374" s="57"/>
      <c r="AF374" s="57"/>
      <c r="AG374" s="57"/>
      <c r="AH374" s="57"/>
      <c r="AI374" s="57"/>
      <c r="AJ374" s="57"/>
      <c r="AK374" s="57"/>
      <c r="AL374" s="57"/>
      <c r="AM374" s="57"/>
      <c r="AP374" s="57"/>
      <c r="AQ374" s="57"/>
      <c r="AR374" s="57"/>
    </row>
    <row r="375" spans="1:44" ht="15" thickTop="1" x14ac:dyDescent="0.3">
      <c r="A375" s="60" t="str">
        <f>IF(Teams&gt;=38, "4", "Hide")</f>
        <v>Hide</v>
      </c>
      <c r="B375" s="384">
        <f>B269</f>
        <v>0</v>
      </c>
      <c r="C375" s="276" t="s">
        <v>220</v>
      </c>
      <c r="D375" s="384"/>
      <c r="E375" s="276" t="s">
        <v>221</v>
      </c>
      <c r="F375" s="74"/>
      <c r="G375" s="67" t="s">
        <v>49</v>
      </c>
      <c r="H375" s="25"/>
      <c r="I375" s="242"/>
      <c r="K375" s="366">
        <v>20</v>
      </c>
      <c r="L375" s="367" t="e">
        <f>MATCH(K375,'Ballot Entry'!$K$321:$K$355,0)</f>
        <v>#N/A</v>
      </c>
      <c r="M375" s="368" t="e">
        <f t="shared" si="49"/>
        <v>#N/A</v>
      </c>
      <c r="N375" s="368" t="e">
        <f t="shared" si="50"/>
        <v>#N/A</v>
      </c>
      <c r="O375" s="368" t="e">
        <f t="shared" si="51"/>
        <v>#N/A</v>
      </c>
      <c r="P375" s="368" t="e">
        <f t="shared" si="52"/>
        <v>#N/A</v>
      </c>
      <c r="Q375" s="374" t="e">
        <f t="shared" si="53"/>
        <v>#N/A</v>
      </c>
      <c r="R375" s="57"/>
      <c r="S375" s="57"/>
      <c r="T375" s="57"/>
      <c r="U375" s="57"/>
      <c r="V375" s="57"/>
      <c r="W375" s="57"/>
      <c r="X375" s="57"/>
      <c r="Y375" s="57"/>
      <c r="Z375" s="57"/>
      <c r="AA375" s="57"/>
      <c r="AB375" s="57"/>
      <c r="AC375" s="57"/>
      <c r="AD375" s="361"/>
      <c r="AE375" s="57"/>
      <c r="AF375" s="57"/>
      <c r="AG375" s="57"/>
      <c r="AH375" s="57"/>
      <c r="AI375" s="57"/>
      <c r="AJ375" s="57"/>
      <c r="AK375" s="57"/>
      <c r="AL375" s="57"/>
      <c r="AM375" s="57"/>
      <c r="AP375" s="57"/>
      <c r="AQ375" s="57"/>
      <c r="AR375" s="57"/>
    </row>
    <row r="376" spans="1:44" x14ac:dyDescent="0.2">
      <c r="A376" s="61" t="str">
        <f>IF(Teams&gt;=38, "4", "Hide")</f>
        <v>Hide</v>
      </c>
      <c r="G376" s="68" t="s">
        <v>50</v>
      </c>
      <c r="H376" s="26"/>
      <c r="I376" s="243"/>
      <c r="K376" s="366">
        <v>21</v>
      </c>
      <c r="L376" s="367" t="e">
        <f>MATCH(K376,'Ballot Entry'!$K$321:$K$355,0)</f>
        <v>#N/A</v>
      </c>
      <c r="M376" s="368" t="e">
        <f t="shared" si="49"/>
        <v>#N/A</v>
      </c>
      <c r="N376" s="368" t="e">
        <f t="shared" si="50"/>
        <v>#N/A</v>
      </c>
      <c r="O376" s="368" t="e">
        <f t="shared" si="51"/>
        <v>#N/A</v>
      </c>
      <c r="P376" s="368" t="e">
        <f t="shared" si="52"/>
        <v>#N/A</v>
      </c>
      <c r="Q376" s="374" t="e">
        <f t="shared" si="53"/>
        <v>#N/A</v>
      </c>
      <c r="R376" s="57"/>
      <c r="S376" s="57"/>
      <c r="T376" s="57"/>
      <c r="U376" s="57"/>
      <c r="V376" s="57"/>
      <c r="W376" s="57"/>
      <c r="X376" s="57"/>
      <c r="Y376" s="57"/>
      <c r="Z376" s="57"/>
      <c r="AA376" s="57"/>
      <c r="AB376" s="57"/>
      <c r="AC376" s="57"/>
      <c r="AD376" s="361"/>
      <c r="AE376" s="57"/>
      <c r="AF376" s="57"/>
      <c r="AG376" s="57"/>
      <c r="AH376" s="57"/>
      <c r="AI376" s="57"/>
      <c r="AJ376" s="57"/>
      <c r="AK376" s="57"/>
      <c r="AL376" s="57"/>
      <c r="AM376" s="57"/>
      <c r="AP376" s="57"/>
      <c r="AQ376" s="57"/>
      <c r="AR376" s="57"/>
    </row>
    <row r="377" spans="1:44" ht="13.5" thickBot="1" x14ac:dyDescent="0.25">
      <c r="A377" s="61" t="str">
        <f>IF(Teams&gt;=38, IF(Ballots = 3, "4", "Hide"), "Hide")</f>
        <v>Hide</v>
      </c>
      <c r="B377" s="386"/>
      <c r="C377" s="277"/>
      <c r="D377" s="278"/>
      <c r="E377" s="278"/>
      <c r="F377" s="75"/>
      <c r="G377" s="68" t="s">
        <v>51</v>
      </c>
      <c r="H377" s="27"/>
      <c r="I377" s="244"/>
      <c r="K377" s="366">
        <v>22</v>
      </c>
      <c r="L377" s="367" t="e">
        <f>MATCH(K377,'Ballot Entry'!$K$321:$K$355,0)</f>
        <v>#N/A</v>
      </c>
      <c r="M377" s="368" t="e">
        <f t="shared" si="49"/>
        <v>#N/A</v>
      </c>
      <c r="N377" s="368" t="e">
        <f t="shared" si="50"/>
        <v>#N/A</v>
      </c>
      <c r="O377" s="368" t="e">
        <f t="shared" si="51"/>
        <v>#N/A</v>
      </c>
      <c r="P377" s="368" t="e">
        <f t="shared" si="52"/>
        <v>#N/A</v>
      </c>
      <c r="Q377" s="374" t="e">
        <f t="shared" si="53"/>
        <v>#N/A</v>
      </c>
      <c r="R377" s="57"/>
      <c r="S377" s="57"/>
      <c r="T377" s="57"/>
      <c r="U377" s="57"/>
      <c r="V377" s="57"/>
      <c r="W377" s="57"/>
      <c r="X377" s="57"/>
      <c r="Y377" s="57"/>
      <c r="Z377" s="57"/>
      <c r="AA377" s="57"/>
      <c r="AB377" s="57"/>
      <c r="AC377" s="57"/>
      <c r="AD377" s="361"/>
      <c r="AE377" s="57"/>
      <c r="AF377" s="57"/>
      <c r="AG377" s="57"/>
      <c r="AH377" s="57"/>
      <c r="AI377" s="57"/>
      <c r="AJ377" s="57"/>
      <c r="AK377" s="57"/>
      <c r="AL377" s="57"/>
      <c r="AM377" s="57"/>
      <c r="AP377" s="57"/>
      <c r="AQ377" s="57"/>
      <c r="AR377" s="57"/>
    </row>
    <row r="378" spans="1:44" ht="15" thickTop="1" x14ac:dyDescent="0.3">
      <c r="A378" s="62" t="str">
        <f>IF(Teams&gt;=40, "4", "Hide")</f>
        <v>Hide</v>
      </c>
      <c r="B378" s="387">
        <f>B272</f>
        <v>0</v>
      </c>
      <c r="C378" s="279" t="s">
        <v>220</v>
      </c>
      <c r="D378" s="280"/>
      <c r="E378" s="279" t="s">
        <v>221</v>
      </c>
      <c r="F378" s="76"/>
      <c r="G378" s="69" t="s">
        <v>49</v>
      </c>
      <c r="H378" s="28"/>
      <c r="I378" s="245"/>
      <c r="K378" s="366">
        <v>23</v>
      </c>
      <c r="L378" s="367" t="e">
        <f>MATCH(K378,'Ballot Entry'!$K$321:$K$355,0)</f>
        <v>#N/A</v>
      </c>
      <c r="M378" s="368" t="e">
        <f t="shared" si="49"/>
        <v>#N/A</v>
      </c>
      <c r="N378" s="368" t="e">
        <f t="shared" si="50"/>
        <v>#N/A</v>
      </c>
      <c r="O378" s="368" t="e">
        <f t="shared" si="51"/>
        <v>#N/A</v>
      </c>
      <c r="P378" s="368" t="e">
        <f t="shared" si="52"/>
        <v>#N/A</v>
      </c>
      <c r="Q378" s="374" t="e">
        <f t="shared" si="53"/>
        <v>#N/A</v>
      </c>
      <c r="R378" s="57"/>
      <c r="S378" s="57"/>
      <c r="T378" s="57"/>
      <c r="U378" s="57"/>
      <c r="V378" s="57"/>
      <c r="W378" s="57"/>
      <c r="X378" s="57"/>
      <c r="Y378" s="57"/>
      <c r="Z378" s="57"/>
      <c r="AA378" s="57"/>
      <c r="AB378" s="57"/>
      <c r="AC378" s="57"/>
      <c r="AD378" s="361"/>
      <c r="AE378" s="57"/>
      <c r="AF378" s="57"/>
      <c r="AG378" s="57"/>
      <c r="AH378" s="57"/>
      <c r="AI378" s="57"/>
      <c r="AJ378" s="57"/>
      <c r="AK378" s="57"/>
      <c r="AL378" s="57"/>
      <c r="AM378" s="57"/>
      <c r="AP378" s="57"/>
      <c r="AQ378" s="57"/>
      <c r="AR378" s="57"/>
    </row>
    <row r="379" spans="1:44" x14ac:dyDescent="0.2">
      <c r="A379" s="63" t="str">
        <f>IF(Teams&gt;=40, "4", "Hide")</f>
        <v>Hide</v>
      </c>
      <c r="B379" s="386"/>
      <c r="G379" s="68" t="s">
        <v>50</v>
      </c>
      <c r="H379" s="29"/>
      <c r="I379" s="246"/>
      <c r="K379" s="366">
        <v>24</v>
      </c>
      <c r="L379" s="367" t="e">
        <f>MATCH(K379,'Ballot Entry'!$K$321:$K$355,0)</f>
        <v>#N/A</v>
      </c>
      <c r="M379" s="368" t="e">
        <f t="shared" si="49"/>
        <v>#N/A</v>
      </c>
      <c r="N379" s="368" t="e">
        <f t="shared" si="50"/>
        <v>#N/A</v>
      </c>
      <c r="O379" s="368" t="e">
        <f t="shared" si="51"/>
        <v>#N/A</v>
      </c>
      <c r="P379" s="368" t="e">
        <f t="shared" si="52"/>
        <v>#N/A</v>
      </c>
      <c r="Q379" s="374" t="e">
        <f t="shared" si="53"/>
        <v>#N/A</v>
      </c>
      <c r="R379" s="57"/>
      <c r="S379" s="57"/>
      <c r="T379" s="57"/>
      <c r="U379" s="57"/>
      <c r="V379" s="57"/>
      <c r="W379" s="57"/>
      <c r="X379" s="57"/>
      <c r="Y379" s="57"/>
      <c r="Z379" s="57"/>
      <c r="AA379" s="57"/>
      <c r="AB379" s="57"/>
      <c r="AC379" s="57"/>
      <c r="AD379" s="361"/>
      <c r="AE379" s="57"/>
      <c r="AF379" s="57"/>
      <c r="AG379" s="57"/>
      <c r="AH379" s="57"/>
      <c r="AI379" s="57"/>
      <c r="AJ379" s="57"/>
      <c r="AK379" s="57"/>
      <c r="AL379" s="57"/>
      <c r="AM379" s="57"/>
      <c r="AP379" s="57"/>
      <c r="AQ379" s="57"/>
      <c r="AR379" s="57"/>
    </row>
    <row r="380" spans="1:44" ht="13.5" thickBot="1" x14ac:dyDescent="0.25">
      <c r="A380" s="64" t="str">
        <f>IF(Teams&gt;=40, IF(Ballots = 3, "4", "Hide"), "Hide")</f>
        <v>Hide</v>
      </c>
      <c r="B380" s="388"/>
      <c r="C380" s="281"/>
      <c r="D380" s="282"/>
      <c r="E380" s="282"/>
      <c r="F380" s="77"/>
      <c r="G380" s="70" t="s">
        <v>51</v>
      </c>
      <c r="H380" s="30"/>
      <c r="I380" s="247"/>
      <c r="K380" s="366">
        <v>25</v>
      </c>
      <c r="L380" s="367" t="e">
        <f>MATCH(K380,'Ballot Entry'!$K$321:$K$355,0)</f>
        <v>#N/A</v>
      </c>
      <c r="M380" s="368" t="e">
        <f t="shared" si="49"/>
        <v>#N/A</v>
      </c>
      <c r="N380" s="368" t="e">
        <f t="shared" si="50"/>
        <v>#N/A</v>
      </c>
      <c r="O380" s="368" t="e">
        <f t="shared" si="51"/>
        <v>#N/A</v>
      </c>
      <c r="P380" s="368" t="e">
        <f t="shared" si="52"/>
        <v>#N/A</v>
      </c>
      <c r="Q380" s="374" t="e">
        <f t="shared" si="53"/>
        <v>#N/A</v>
      </c>
      <c r="S380" s="57"/>
      <c r="T380" s="57"/>
      <c r="U380" s="57"/>
      <c r="V380" s="57"/>
      <c r="W380" s="57"/>
      <c r="X380" s="57"/>
      <c r="Y380" s="57"/>
      <c r="Z380" s="57"/>
      <c r="AA380" s="57"/>
      <c r="AB380" s="57"/>
      <c r="AC380" s="57"/>
      <c r="AD380" s="361"/>
      <c r="AE380" s="57"/>
      <c r="AF380" s="57"/>
      <c r="AG380" s="57"/>
      <c r="AH380" s="57"/>
      <c r="AI380" s="57"/>
      <c r="AJ380" s="57"/>
      <c r="AK380" s="57"/>
      <c r="AL380" s="57"/>
      <c r="AM380" s="57"/>
      <c r="AP380" s="57"/>
      <c r="AQ380" s="57"/>
      <c r="AR380" s="57"/>
    </row>
    <row r="381" spans="1:44" ht="15" thickTop="1" x14ac:dyDescent="0.3">
      <c r="A381" s="60" t="str">
        <f>IF(Teams&gt;=42, "4", "Hide")</f>
        <v>Hide</v>
      </c>
      <c r="B381" s="384">
        <f>B275</f>
        <v>0</v>
      </c>
      <c r="C381" s="276" t="s">
        <v>220</v>
      </c>
      <c r="D381" s="384"/>
      <c r="E381" s="276" t="s">
        <v>221</v>
      </c>
      <c r="F381" s="74"/>
      <c r="G381" s="67" t="s">
        <v>49</v>
      </c>
      <c r="H381" s="25"/>
      <c r="I381" s="242"/>
      <c r="K381" s="366">
        <v>26</v>
      </c>
      <c r="L381" s="367" t="e">
        <f>MATCH(K381,'Ballot Entry'!$K$321:$K$355,0)</f>
        <v>#N/A</v>
      </c>
      <c r="M381" s="368" t="e">
        <f t="shared" si="49"/>
        <v>#N/A</v>
      </c>
      <c r="N381" s="368" t="e">
        <f t="shared" si="50"/>
        <v>#N/A</v>
      </c>
      <c r="O381" s="368" t="e">
        <f t="shared" si="51"/>
        <v>#N/A</v>
      </c>
      <c r="P381" s="368" t="e">
        <f t="shared" si="52"/>
        <v>#N/A</v>
      </c>
      <c r="Q381" s="374" t="e">
        <f t="shared" si="53"/>
        <v>#N/A</v>
      </c>
    </row>
    <row r="382" spans="1:44" x14ac:dyDescent="0.2">
      <c r="A382" s="61" t="str">
        <f>IF(Teams&gt;=42, "4", "Hide")</f>
        <v>Hide</v>
      </c>
      <c r="G382" s="68" t="s">
        <v>50</v>
      </c>
      <c r="H382" s="26"/>
      <c r="I382" s="243"/>
      <c r="K382" s="366">
        <v>27</v>
      </c>
      <c r="L382" s="367" t="e">
        <f>MATCH(K382,'Ballot Entry'!$K$321:$K$355,0)</f>
        <v>#N/A</v>
      </c>
      <c r="M382" s="368" t="e">
        <f t="shared" si="49"/>
        <v>#N/A</v>
      </c>
      <c r="N382" s="368" t="e">
        <f t="shared" si="50"/>
        <v>#N/A</v>
      </c>
      <c r="O382" s="368" t="e">
        <f t="shared" si="51"/>
        <v>#N/A</v>
      </c>
      <c r="P382" s="368" t="e">
        <f t="shared" si="52"/>
        <v>#N/A</v>
      </c>
      <c r="Q382" s="374" t="e">
        <f t="shared" si="53"/>
        <v>#N/A</v>
      </c>
    </row>
    <row r="383" spans="1:44" ht="13.5" thickBot="1" x14ac:dyDescent="0.25">
      <c r="A383" s="61" t="str">
        <f>IF(Teams&gt;=42, IF(Ballots = 3, "4", "Hide"), "Hide")</f>
        <v>Hide</v>
      </c>
      <c r="B383" s="386"/>
      <c r="C383" s="277"/>
      <c r="D383" s="278"/>
      <c r="E383" s="278"/>
      <c r="F383" s="75"/>
      <c r="G383" s="68" t="s">
        <v>51</v>
      </c>
      <c r="H383" s="27"/>
      <c r="I383" s="244"/>
      <c r="K383" s="366">
        <v>28</v>
      </c>
      <c r="L383" s="367" t="e">
        <f>MATCH(K383,'Ballot Entry'!$K$321:$K$355,0)</f>
        <v>#N/A</v>
      </c>
      <c r="M383" s="368" t="e">
        <f t="shared" si="49"/>
        <v>#N/A</v>
      </c>
      <c r="N383" s="368" t="e">
        <f t="shared" si="50"/>
        <v>#N/A</v>
      </c>
      <c r="O383" s="368" t="e">
        <f t="shared" si="51"/>
        <v>#N/A</v>
      </c>
      <c r="P383" s="368" t="e">
        <f t="shared" si="52"/>
        <v>#N/A</v>
      </c>
      <c r="Q383" s="374" t="e">
        <f t="shared" si="53"/>
        <v>#N/A</v>
      </c>
    </row>
    <row r="384" spans="1:44" ht="15" thickTop="1" x14ac:dyDescent="0.3">
      <c r="A384" s="62" t="str">
        <f>IF(Teams&gt;=44, "4", "Hide")</f>
        <v>Hide</v>
      </c>
      <c r="B384" s="387">
        <f>B278</f>
        <v>0</v>
      </c>
      <c r="C384" s="279" t="s">
        <v>220</v>
      </c>
      <c r="D384" s="280"/>
      <c r="E384" s="279" t="s">
        <v>221</v>
      </c>
      <c r="F384" s="76"/>
      <c r="G384" s="69" t="s">
        <v>49</v>
      </c>
      <c r="H384" s="28"/>
      <c r="I384" s="245"/>
      <c r="K384" s="366">
        <v>29</v>
      </c>
      <c r="L384" s="367" t="e">
        <f>MATCH(K384,'Ballot Entry'!$K$321:$K$355,0)</f>
        <v>#N/A</v>
      </c>
      <c r="M384" s="368" t="e">
        <f t="shared" si="49"/>
        <v>#N/A</v>
      </c>
      <c r="N384" s="368" t="e">
        <f t="shared" si="50"/>
        <v>#N/A</v>
      </c>
      <c r="O384" s="368" t="e">
        <f t="shared" si="51"/>
        <v>#N/A</v>
      </c>
      <c r="P384" s="368" t="e">
        <f t="shared" si="52"/>
        <v>#N/A</v>
      </c>
      <c r="Q384" s="374" t="e">
        <f t="shared" si="53"/>
        <v>#N/A</v>
      </c>
    </row>
    <row r="385" spans="1:17" x14ac:dyDescent="0.2">
      <c r="A385" s="63" t="str">
        <f>IF(Teams&gt;=44, "4", "Hide")</f>
        <v>Hide</v>
      </c>
      <c r="B385" s="386"/>
      <c r="G385" s="68" t="s">
        <v>50</v>
      </c>
      <c r="H385" s="29"/>
      <c r="I385" s="246"/>
      <c r="K385" s="366">
        <v>30</v>
      </c>
      <c r="L385" s="367" t="e">
        <f>MATCH(K385,'Ballot Entry'!$K$321:$K$355,0)</f>
        <v>#N/A</v>
      </c>
      <c r="M385" s="368" t="e">
        <f t="shared" si="49"/>
        <v>#N/A</v>
      </c>
      <c r="N385" s="368" t="e">
        <f t="shared" si="50"/>
        <v>#N/A</v>
      </c>
      <c r="O385" s="368" t="e">
        <f t="shared" si="51"/>
        <v>#N/A</v>
      </c>
      <c r="P385" s="368" t="e">
        <f t="shared" si="52"/>
        <v>#N/A</v>
      </c>
      <c r="Q385" s="374" t="e">
        <f t="shared" si="53"/>
        <v>#N/A</v>
      </c>
    </row>
    <row r="386" spans="1:17" ht="13.5" thickBot="1" x14ac:dyDescent="0.25">
      <c r="A386" s="64" t="str">
        <f>IF(Teams&gt;=44, IF(Ballots = 3, "4", "Hide"), "Hide")</f>
        <v>Hide</v>
      </c>
      <c r="B386" s="388"/>
      <c r="C386" s="281"/>
      <c r="D386" s="282"/>
      <c r="E386" s="282"/>
      <c r="F386" s="77"/>
      <c r="G386" s="70" t="s">
        <v>51</v>
      </c>
      <c r="H386" s="30"/>
      <c r="I386" s="247"/>
      <c r="K386" s="366">
        <v>31</v>
      </c>
      <c r="L386" s="367" t="e">
        <f>MATCH(K386,'Ballot Entry'!$K$321:$K$355,0)</f>
        <v>#N/A</v>
      </c>
      <c r="M386" s="368" t="e">
        <f t="shared" si="49"/>
        <v>#N/A</v>
      </c>
      <c r="N386" s="368" t="e">
        <f t="shared" si="50"/>
        <v>#N/A</v>
      </c>
      <c r="O386" s="368" t="e">
        <f t="shared" si="51"/>
        <v>#N/A</v>
      </c>
      <c r="P386" s="368" t="e">
        <f t="shared" si="52"/>
        <v>#N/A</v>
      </c>
      <c r="Q386" s="374" t="e">
        <f t="shared" si="53"/>
        <v>#N/A</v>
      </c>
    </row>
    <row r="387" spans="1:17" ht="15" thickTop="1" x14ac:dyDescent="0.3">
      <c r="A387" s="60" t="str">
        <f>IF(Teams&gt;=46, "4", "Hide")</f>
        <v>Hide</v>
      </c>
      <c r="B387" s="384">
        <f>B281</f>
        <v>0</v>
      </c>
      <c r="C387" s="276" t="s">
        <v>220</v>
      </c>
      <c r="D387" s="384"/>
      <c r="E387" s="276" t="s">
        <v>221</v>
      </c>
      <c r="F387" s="74"/>
      <c r="G387" s="67" t="s">
        <v>49</v>
      </c>
      <c r="H387" s="25"/>
      <c r="I387" s="242"/>
      <c r="K387" s="366">
        <v>32</v>
      </c>
      <c r="L387" s="367" t="e">
        <f>MATCH(K387,'Ballot Entry'!$K$321:$K$355,0)</f>
        <v>#N/A</v>
      </c>
      <c r="M387" s="368" t="e">
        <f t="shared" si="49"/>
        <v>#N/A</v>
      </c>
      <c r="N387" s="368" t="e">
        <f t="shared" si="50"/>
        <v>#N/A</v>
      </c>
      <c r="O387" s="368" t="e">
        <f t="shared" si="51"/>
        <v>#N/A</v>
      </c>
      <c r="P387" s="368" t="e">
        <f t="shared" si="52"/>
        <v>#N/A</v>
      </c>
      <c r="Q387" s="374" t="e">
        <f t="shared" si="53"/>
        <v>#N/A</v>
      </c>
    </row>
    <row r="388" spans="1:17" x14ac:dyDescent="0.2">
      <c r="A388" s="61" t="str">
        <f>IF(Teams&gt;=46, "4", "Hide")</f>
        <v>Hide</v>
      </c>
      <c r="G388" s="68" t="s">
        <v>50</v>
      </c>
      <c r="H388" s="26"/>
      <c r="I388" s="243"/>
      <c r="K388" s="366">
        <v>33</v>
      </c>
      <c r="L388" s="367" t="e">
        <f>MATCH(K388,'Ballot Entry'!$K$321:$K$355,0)</f>
        <v>#N/A</v>
      </c>
      <c r="M388" s="368" t="e">
        <f t="shared" si="49"/>
        <v>#N/A</v>
      </c>
      <c r="N388" s="368" t="e">
        <f t="shared" si="50"/>
        <v>#N/A</v>
      </c>
      <c r="O388" s="368" t="e">
        <f t="shared" si="51"/>
        <v>#N/A</v>
      </c>
      <c r="P388" s="368" t="e">
        <f t="shared" si="52"/>
        <v>#N/A</v>
      </c>
      <c r="Q388" s="374" t="e">
        <f t="shared" si="53"/>
        <v>#N/A</v>
      </c>
    </row>
    <row r="389" spans="1:17" ht="13.5" thickBot="1" x14ac:dyDescent="0.25">
      <c r="A389" s="61" t="str">
        <f>IF(Teams&gt;=46, IF(Ballots = 3, "4", "Hide"), "Hide")</f>
        <v>Hide</v>
      </c>
      <c r="B389" s="386"/>
      <c r="C389" s="277"/>
      <c r="D389" s="278"/>
      <c r="E389" s="278"/>
      <c r="F389" s="75"/>
      <c r="G389" s="68" t="s">
        <v>51</v>
      </c>
      <c r="H389" s="27"/>
      <c r="I389" s="244"/>
      <c r="K389" s="366">
        <v>34</v>
      </c>
      <c r="L389" s="367" t="e">
        <f>MATCH(K389,'Ballot Entry'!$K$321:$K$355,0)</f>
        <v>#N/A</v>
      </c>
      <c r="M389" s="368" t="e">
        <f t="shared" si="49"/>
        <v>#N/A</v>
      </c>
      <c r="N389" s="368" t="e">
        <f t="shared" si="50"/>
        <v>#N/A</v>
      </c>
      <c r="O389" s="368" t="e">
        <f t="shared" si="51"/>
        <v>#N/A</v>
      </c>
      <c r="P389" s="368" t="e">
        <f t="shared" si="52"/>
        <v>#N/A</v>
      </c>
      <c r="Q389" s="374" t="e">
        <f t="shared" si="53"/>
        <v>#N/A</v>
      </c>
    </row>
    <row r="390" spans="1:17" ht="15" thickTop="1" x14ac:dyDescent="0.3">
      <c r="A390" s="62" t="str">
        <f>IF(Teams&gt;=48, "4", "Hide")</f>
        <v>Hide</v>
      </c>
      <c r="B390" s="387">
        <f>B284</f>
        <v>0</v>
      </c>
      <c r="C390" s="279" t="s">
        <v>220</v>
      </c>
      <c r="D390" s="280"/>
      <c r="E390" s="279" t="s">
        <v>221</v>
      </c>
      <c r="F390" s="76"/>
      <c r="G390" s="69" t="s">
        <v>49</v>
      </c>
      <c r="H390" s="28"/>
      <c r="I390" s="245"/>
      <c r="K390" s="375">
        <v>35</v>
      </c>
      <c r="L390" s="376" t="e">
        <f>MATCH(K390,'Ballot Entry'!$K$321:$K$355,0)</f>
        <v>#N/A</v>
      </c>
      <c r="M390" s="377" t="e">
        <f t="shared" si="49"/>
        <v>#N/A</v>
      </c>
      <c r="N390" s="377" t="e">
        <f t="shared" si="50"/>
        <v>#N/A</v>
      </c>
      <c r="O390" s="377" t="e">
        <f t="shared" si="51"/>
        <v>#N/A</v>
      </c>
      <c r="P390" s="377" t="e">
        <f t="shared" si="52"/>
        <v>#N/A</v>
      </c>
      <c r="Q390" s="378" t="e">
        <f t="shared" si="53"/>
        <v>#N/A</v>
      </c>
    </row>
    <row r="391" spans="1:17" x14ac:dyDescent="0.2">
      <c r="A391" s="63" t="str">
        <f>IF(Teams&gt;=48, "4", "Hide")</f>
        <v>Hide</v>
      </c>
      <c r="B391" s="386"/>
      <c r="G391" s="68" t="s">
        <v>50</v>
      </c>
      <c r="H391" s="29"/>
      <c r="I391" s="246"/>
      <c r="K391" s="370">
        <v>1</v>
      </c>
      <c r="L391" s="371">
        <f>MATCH(K391,'Ballot Entry'!$L$321:$L$355,0)</f>
        <v>1</v>
      </c>
      <c r="M391" s="372">
        <f t="shared" ref="M391:M425" si="54">INDEX(Round4,$L391,4)</f>
        <v>1001</v>
      </c>
      <c r="N391" s="372">
        <f t="shared" ref="N391" si="55">INDEX(Round4,L391,3)</f>
        <v>1506</v>
      </c>
      <c r="O391" s="372">
        <f t="shared" ref="O391:O425" si="56">INDEX(Round4,$L391,5)*-1</f>
        <v>-10</v>
      </c>
      <c r="P391" s="372">
        <f t="shared" ref="P391:P425" si="57">INDEX(Round4,$L391,6)*-1</f>
        <v>-1</v>
      </c>
      <c r="Q391" s="373">
        <f t="shared" ref="Q391:Q425" si="58">INDEX(Round4,$L391,7)*-1</f>
        <v>0</v>
      </c>
    </row>
    <row r="392" spans="1:17" ht="13.5" thickBot="1" x14ac:dyDescent="0.25">
      <c r="A392" s="64" t="str">
        <f>IF(Teams&gt;=48, IF(Ballots = 3, "4", "Hide"), "Hide")</f>
        <v>Hide</v>
      </c>
      <c r="B392" s="388"/>
      <c r="C392" s="281"/>
      <c r="D392" s="282"/>
      <c r="E392" s="282"/>
      <c r="F392" s="77"/>
      <c r="G392" s="70" t="s">
        <v>51</v>
      </c>
      <c r="H392" s="30"/>
      <c r="I392" s="247"/>
      <c r="K392" s="366">
        <v>2</v>
      </c>
      <c r="L392" s="367">
        <f>MATCH(K392,'Ballot Entry'!$L$321:$L$355,0)</f>
        <v>5</v>
      </c>
      <c r="M392" s="368">
        <f t="shared" si="54"/>
        <v>1217</v>
      </c>
      <c r="N392" s="368">
        <f t="shared" ref="N392:N409" si="59">INDEX(Round4,L392,3)</f>
        <v>1051</v>
      </c>
      <c r="O392" s="368">
        <f t="shared" si="56"/>
        <v>16</v>
      </c>
      <c r="P392" s="368">
        <f t="shared" si="57"/>
        <v>2</v>
      </c>
      <c r="Q392" s="374">
        <f t="shared" si="58"/>
        <v>0</v>
      </c>
    </row>
    <row r="393" spans="1:17" ht="15" thickTop="1" x14ac:dyDescent="0.3">
      <c r="A393" s="60" t="str">
        <f>IF(Teams&gt;=50, "4", "Hide")</f>
        <v>Hide</v>
      </c>
      <c r="B393" s="384">
        <f>B287</f>
        <v>0</v>
      </c>
      <c r="C393" s="276" t="s">
        <v>220</v>
      </c>
      <c r="D393" s="384"/>
      <c r="E393" s="276" t="s">
        <v>221</v>
      </c>
      <c r="F393" s="74"/>
      <c r="G393" s="67" t="s">
        <v>49</v>
      </c>
      <c r="H393" s="25"/>
      <c r="I393" s="242"/>
      <c r="K393" s="366">
        <v>3</v>
      </c>
      <c r="L393" s="367">
        <f>MATCH(K393,'Ballot Entry'!$L$321:$L$355,0)</f>
        <v>6</v>
      </c>
      <c r="M393" s="368">
        <f t="shared" si="54"/>
        <v>1258</v>
      </c>
      <c r="N393" s="368">
        <f t="shared" si="59"/>
        <v>1492</v>
      </c>
      <c r="O393" s="368">
        <f t="shared" si="56"/>
        <v>18</v>
      </c>
      <c r="P393" s="368">
        <f t="shared" si="57"/>
        <v>-4</v>
      </c>
      <c r="Q393" s="374">
        <f t="shared" si="58"/>
        <v>0</v>
      </c>
    </row>
    <row r="394" spans="1:17" x14ac:dyDescent="0.2">
      <c r="A394" s="61" t="str">
        <f>IF(Teams&gt;=50, "4", "Hide")</f>
        <v>Hide</v>
      </c>
      <c r="G394" s="68" t="s">
        <v>50</v>
      </c>
      <c r="H394" s="26"/>
      <c r="I394" s="243"/>
      <c r="K394" s="366">
        <v>4</v>
      </c>
      <c r="L394" s="367">
        <f>MATCH(K394,'Ballot Entry'!$L$321:$L$355,0)</f>
        <v>7</v>
      </c>
      <c r="M394" s="368">
        <f t="shared" si="54"/>
        <v>1262</v>
      </c>
      <c r="N394" s="368">
        <f t="shared" si="59"/>
        <v>1078</v>
      </c>
      <c r="O394" s="368">
        <f t="shared" si="56"/>
        <v>2</v>
      </c>
      <c r="P394" s="368">
        <f t="shared" si="57"/>
        <v>-2</v>
      </c>
      <c r="Q394" s="374">
        <f t="shared" si="58"/>
        <v>0</v>
      </c>
    </row>
    <row r="395" spans="1:17" ht="13.5" thickBot="1" x14ac:dyDescent="0.25">
      <c r="A395" s="61" t="str">
        <f>IF(Teams&gt;=50, IF(Ballots = 3, "4", "Hide"), "Hide")</f>
        <v>Hide</v>
      </c>
      <c r="B395" s="386"/>
      <c r="C395" s="277"/>
      <c r="D395" s="278"/>
      <c r="E395" s="278"/>
      <c r="F395" s="75"/>
      <c r="G395" s="68" t="s">
        <v>51</v>
      </c>
      <c r="H395" s="27"/>
      <c r="I395" s="244"/>
      <c r="K395" s="366">
        <v>5</v>
      </c>
      <c r="L395" s="367">
        <f>MATCH(K395,'Ballot Entry'!$L$321:$L$355,0)</f>
        <v>9</v>
      </c>
      <c r="M395" s="368">
        <f t="shared" si="54"/>
        <v>1268</v>
      </c>
      <c r="N395" s="368">
        <f t="shared" si="59"/>
        <v>1557</v>
      </c>
      <c r="O395" s="368">
        <f t="shared" si="56"/>
        <v>6</v>
      </c>
      <c r="P395" s="368">
        <f t="shared" si="57"/>
        <v>16</v>
      </c>
      <c r="Q395" s="374">
        <f t="shared" si="58"/>
        <v>0</v>
      </c>
    </row>
    <row r="396" spans="1:17" ht="15" thickTop="1" x14ac:dyDescent="0.3">
      <c r="A396" s="62" t="str">
        <f>IF(Teams&gt;=52, "4", "Hide")</f>
        <v>Hide</v>
      </c>
      <c r="B396" s="387">
        <f>B290</f>
        <v>0</v>
      </c>
      <c r="C396" s="279" t="s">
        <v>220</v>
      </c>
      <c r="D396" s="280"/>
      <c r="E396" s="279" t="s">
        <v>221</v>
      </c>
      <c r="F396" s="76"/>
      <c r="G396" s="69" t="s">
        <v>49</v>
      </c>
      <c r="H396" s="28"/>
      <c r="I396" s="245"/>
      <c r="K396" s="366">
        <v>6</v>
      </c>
      <c r="L396" s="367">
        <f>MATCH(K396,'Ballot Entry'!$L$321:$L$355,0)</f>
        <v>2</v>
      </c>
      <c r="M396" s="368">
        <f t="shared" si="54"/>
        <v>1489</v>
      </c>
      <c r="N396" s="368">
        <f t="shared" si="59"/>
        <v>1410</v>
      </c>
      <c r="O396" s="368">
        <f t="shared" si="56"/>
        <v>-20</v>
      </c>
      <c r="P396" s="368">
        <f t="shared" si="57"/>
        <v>-2</v>
      </c>
      <c r="Q396" s="374">
        <f t="shared" si="58"/>
        <v>0</v>
      </c>
    </row>
    <row r="397" spans="1:17" x14ac:dyDescent="0.2">
      <c r="A397" s="63" t="str">
        <f>IF(Teams&gt;=52, "4", "Hide")</f>
        <v>Hide</v>
      </c>
      <c r="B397" s="386"/>
      <c r="G397" s="68" t="s">
        <v>50</v>
      </c>
      <c r="H397" s="29"/>
      <c r="I397" s="246"/>
      <c r="K397" s="366">
        <v>7</v>
      </c>
      <c r="L397" s="367">
        <f>MATCH(K397,'Ballot Entry'!$L$321:$L$355,0)</f>
        <v>3</v>
      </c>
      <c r="M397" s="368">
        <f t="shared" si="54"/>
        <v>1517</v>
      </c>
      <c r="N397" s="368">
        <f t="shared" si="59"/>
        <v>1577</v>
      </c>
      <c r="O397" s="368">
        <f t="shared" si="56"/>
        <v>-10</v>
      </c>
      <c r="P397" s="368">
        <f t="shared" si="57"/>
        <v>-4</v>
      </c>
      <c r="Q397" s="374">
        <f t="shared" si="58"/>
        <v>0</v>
      </c>
    </row>
    <row r="398" spans="1:17" ht="13.5" thickBot="1" x14ac:dyDescent="0.25">
      <c r="A398" s="64" t="str">
        <f>IF(Teams&gt;=52, IF(Ballots = 3, "4", "Hide"), "Hide")</f>
        <v>Hide</v>
      </c>
      <c r="B398" s="388"/>
      <c r="C398" s="281"/>
      <c r="D398" s="282"/>
      <c r="E398" s="282"/>
      <c r="F398" s="77"/>
      <c r="G398" s="70" t="s">
        <v>51</v>
      </c>
      <c r="H398" s="30"/>
      <c r="I398" s="247"/>
      <c r="K398" s="366">
        <v>8</v>
      </c>
      <c r="L398" s="367">
        <f>MATCH(K398,'Ballot Entry'!$L$321:$L$355,0)</f>
        <v>4</v>
      </c>
      <c r="M398" s="368">
        <f t="shared" si="54"/>
        <v>1616</v>
      </c>
      <c r="N398" s="368">
        <f t="shared" si="59"/>
        <v>1029</v>
      </c>
      <c r="O398" s="368">
        <f t="shared" si="56"/>
        <v>6</v>
      </c>
      <c r="P398" s="368">
        <f t="shared" si="57"/>
        <v>3</v>
      </c>
      <c r="Q398" s="374">
        <f t="shared" si="58"/>
        <v>0</v>
      </c>
    </row>
    <row r="399" spans="1:17" ht="15" thickTop="1" x14ac:dyDescent="0.3">
      <c r="A399" s="60" t="str">
        <f>IF(Teams&gt;=54, "4", "Hide")</f>
        <v>Hide</v>
      </c>
      <c r="B399" s="384">
        <f>B293</f>
        <v>0</v>
      </c>
      <c r="C399" s="276" t="s">
        <v>220</v>
      </c>
      <c r="D399" s="384"/>
      <c r="E399" s="276" t="s">
        <v>221</v>
      </c>
      <c r="F399" s="74"/>
      <c r="G399" s="67" t="s">
        <v>49</v>
      </c>
      <c r="H399" s="25"/>
      <c r="I399" s="242"/>
      <c r="K399" s="366">
        <v>9</v>
      </c>
      <c r="L399" s="367">
        <f>MATCH(K399,'Ballot Entry'!$L$321:$L$355,0)</f>
        <v>8</v>
      </c>
      <c r="M399" s="368">
        <f t="shared" si="54"/>
        <v>1693</v>
      </c>
      <c r="N399" s="368">
        <f t="shared" si="59"/>
        <v>1224</v>
      </c>
      <c r="O399" s="368">
        <f t="shared" si="56"/>
        <v>-1</v>
      </c>
      <c r="P399" s="368">
        <f t="shared" si="57"/>
        <v>-6</v>
      </c>
      <c r="Q399" s="374">
        <f t="shared" si="58"/>
        <v>0</v>
      </c>
    </row>
    <row r="400" spans="1:17" x14ac:dyDescent="0.2">
      <c r="A400" s="61" t="str">
        <f>IF(Teams&gt;=54, "4", "Hide")</f>
        <v>Hide</v>
      </c>
      <c r="G400" s="68" t="s">
        <v>50</v>
      </c>
      <c r="H400" s="26"/>
      <c r="I400" s="243"/>
      <c r="K400" s="366">
        <v>10</v>
      </c>
      <c r="L400" s="367">
        <f>MATCH(K400,'Ballot Entry'!$L$321:$L$355,0)</f>
        <v>10</v>
      </c>
      <c r="M400" s="368">
        <f t="shared" si="54"/>
        <v>9999</v>
      </c>
      <c r="N400" s="368">
        <f t="shared" si="59"/>
        <v>9999</v>
      </c>
      <c r="O400" s="368">
        <f t="shared" si="56"/>
        <v>0</v>
      </c>
      <c r="P400" s="368">
        <f t="shared" si="57"/>
        <v>0</v>
      </c>
      <c r="Q400" s="374">
        <f t="shared" si="58"/>
        <v>0</v>
      </c>
    </row>
    <row r="401" spans="1:17" ht="13.5" thickBot="1" x14ac:dyDescent="0.25">
      <c r="A401" s="61" t="str">
        <f>IF(Teams&gt;=54, IF(Ballots = 3, "4", "Hide"), "Hide")</f>
        <v>Hide</v>
      </c>
      <c r="B401" s="386"/>
      <c r="C401" s="277"/>
      <c r="D401" s="278"/>
      <c r="E401" s="278"/>
      <c r="F401" s="75"/>
      <c r="G401" s="68" t="s">
        <v>51</v>
      </c>
      <c r="H401" s="27"/>
      <c r="I401" s="244"/>
      <c r="K401" s="366">
        <v>11</v>
      </c>
      <c r="L401" s="367" t="e">
        <f>MATCH(K401,'Ballot Entry'!$L$321:$L$355,0)</f>
        <v>#N/A</v>
      </c>
      <c r="M401" s="368" t="e">
        <f t="shared" si="54"/>
        <v>#N/A</v>
      </c>
      <c r="N401" s="368" t="e">
        <f t="shared" si="59"/>
        <v>#N/A</v>
      </c>
      <c r="O401" s="368" t="e">
        <f t="shared" si="56"/>
        <v>#N/A</v>
      </c>
      <c r="P401" s="368" t="e">
        <f t="shared" si="57"/>
        <v>#N/A</v>
      </c>
      <c r="Q401" s="374" t="e">
        <f t="shared" si="58"/>
        <v>#N/A</v>
      </c>
    </row>
    <row r="402" spans="1:17" ht="15" thickTop="1" x14ac:dyDescent="0.3">
      <c r="A402" s="62" t="str">
        <f>IF(Teams&gt;=56, "4", "Hide")</f>
        <v>Hide</v>
      </c>
      <c r="B402" s="387">
        <f>B296</f>
        <v>0</v>
      </c>
      <c r="C402" s="279" t="s">
        <v>220</v>
      </c>
      <c r="D402" s="280"/>
      <c r="E402" s="279" t="s">
        <v>221</v>
      </c>
      <c r="F402" s="76"/>
      <c r="G402" s="69" t="s">
        <v>49</v>
      </c>
      <c r="H402" s="28"/>
      <c r="I402" s="245"/>
      <c r="K402" s="366">
        <v>12</v>
      </c>
      <c r="L402" s="367" t="e">
        <f>MATCH(K402,'Ballot Entry'!$L$321:$L$355,0)</f>
        <v>#N/A</v>
      </c>
      <c r="M402" s="368" t="e">
        <f t="shared" si="54"/>
        <v>#N/A</v>
      </c>
      <c r="N402" s="368" t="e">
        <f t="shared" si="59"/>
        <v>#N/A</v>
      </c>
      <c r="O402" s="368" t="e">
        <f t="shared" si="56"/>
        <v>#N/A</v>
      </c>
      <c r="P402" s="368" t="e">
        <f t="shared" si="57"/>
        <v>#N/A</v>
      </c>
      <c r="Q402" s="374" t="e">
        <f t="shared" si="58"/>
        <v>#N/A</v>
      </c>
    </row>
    <row r="403" spans="1:17" x14ac:dyDescent="0.2">
      <c r="A403" s="63" t="str">
        <f>IF(Teams&gt;=56, "4", "Hide")</f>
        <v>Hide</v>
      </c>
      <c r="B403" s="386"/>
      <c r="G403" s="68" t="s">
        <v>50</v>
      </c>
      <c r="H403" s="29"/>
      <c r="I403" s="246"/>
      <c r="K403" s="366">
        <v>13</v>
      </c>
      <c r="L403" s="367" t="e">
        <f>MATCH(K403,'Ballot Entry'!$L$321:$L$355,0)</f>
        <v>#N/A</v>
      </c>
      <c r="M403" s="368" t="e">
        <f t="shared" si="54"/>
        <v>#N/A</v>
      </c>
      <c r="N403" s="368" t="e">
        <f t="shared" si="59"/>
        <v>#N/A</v>
      </c>
      <c r="O403" s="368" t="e">
        <f t="shared" si="56"/>
        <v>#N/A</v>
      </c>
      <c r="P403" s="368" t="e">
        <f t="shared" si="57"/>
        <v>#N/A</v>
      </c>
      <c r="Q403" s="374" t="e">
        <f t="shared" si="58"/>
        <v>#N/A</v>
      </c>
    </row>
    <row r="404" spans="1:17" ht="13.5" thickBot="1" x14ac:dyDescent="0.25">
      <c r="A404" s="64" t="str">
        <f>IF(Teams&gt;=56, IF(Ballots = 3, "4", "Hide"), "Hide")</f>
        <v>Hide</v>
      </c>
      <c r="B404" s="388"/>
      <c r="C404" s="281"/>
      <c r="D404" s="282"/>
      <c r="E404" s="282"/>
      <c r="F404" s="77"/>
      <c r="G404" s="70" t="s">
        <v>51</v>
      </c>
      <c r="H404" s="30"/>
      <c r="I404" s="247"/>
      <c r="K404" s="366">
        <v>14</v>
      </c>
      <c r="L404" s="367" t="e">
        <f>MATCH(K404,'Ballot Entry'!$L$321:$L$355,0)</f>
        <v>#N/A</v>
      </c>
      <c r="M404" s="368" t="e">
        <f t="shared" si="54"/>
        <v>#N/A</v>
      </c>
      <c r="N404" s="368" t="e">
        <f t="shared" si="59"/>
        <v>#N/A</v>
      </c>
      <c r="O404" s="368" t="e">
        <f t="shared" si="56"/>
        <v>#N/A</v>
      </c>
      <c r="P404" s="368" t="e">
        <f t="shared" si="57"/>
        <v>#N/A</v>
      </c>
      <c r="Q404" s="374" t="e">
        <f t="shared" si="58"/>
        <v>#N/A</v>
      </c>
    </row>
    <row r="405" spans="1:17" ht="15" thickTop="1" x14ac:dyDescent="0.3">
      <c r="A405" s="60" t="str">
        <f>IF(Teams&gt;=58, "4", "Hide")</f>
        <v>Hide</v>
      </c>
      <c r="B405" s="384">
        <f>B299</f>
        <v>0</v>
      </c>
      <c r="C405" s="276" t="s">
        <v>220</v>
      </c>
      <c r="D405" s="384"/>
      <c r="E405" s="276" t="s">
        <v>221</v>
      </c>
      <c r="F405" s="74"/>
      <c r="G405" s="67" t="s">
        <v>49</v>
      </c>
      <c r="H405" s="25"/>
      <c r="I405" s="242"/>
      <c r="K405" s="366">
        <v>15</v>
      </c>
      <c r="L405" s="367" t="e">
        <f>MATCH(K405,'Ballot Entry'!$L$321:$L$355,0)</f>
        <v>#N/A</v>
      </c>
      <c r="M405" s="368" t="e">
        <f t="shared" si="54"/>
        <v>#N/A</v>
      </c>
      <c r="N405" s="368" t="e">
        <f t="shared" si="59"/>
        <v>#N/A</v>
      </c>
      <c r="O405" s="368" t="e">
        <f t="shared" si="56"/>
        <v>#N/A</v>
      </c>
      <c r="P405" s="368" t="e">
        <f t="shared" si="57"/>
        <v>#N/A</v>
      </c>
      <c r="Q405" s="374" t="e">
        <f t="shared" si="58"/>
        <v>#N/A</v>
      </c>
    </row>
    <row r="406" spans="1:17" x14ac:dyDescent="0.2">
      <c r="A406" s="61" t="str">
        <f>IF(Teams&gt;=58, "4", "Hide")</f>
        <v>Hide</v>
      </c>
      <c r="G406" s="68" t="s">
        <v>50</v>
      </c>
      <c r="H406" s="26"/>
      <c r="I406" s="243"/>
      <c r="K406" s="366">
        <v>16</v>
      </c>
      <c r="L406" s="367" t="e">
        <f>MATCH(K406,'Ballot Entry'!$L$321:$L$355,0)</f>
        <v>#N/A</v>
      </c>
      <c r="M406" s="368" t="e">
        <f t="shared" si="54"/>
        <v>#N/A</v>
      </c>
      <c r="N406" s="368" t="e">
        <f t="shared" si="59"/>
        <v>#N/A</v>
      </c>
      <c r="O406" s="368" t="e">
        <f t="shared" si="56"/>
        <v>#N/A</v>
      </c>
      <c r="P406" s="368" t="e">
        <f t="shared" si="57"/>
        <v>#N/A</v>
      </c>
      <c r="Q406" s="374" t="e">
        <f t="shared" si="58"/>
        <v>#N/A</v>
      </c>
    </row>
    <row r="407" spans="1:17" ht="13.5" thickBot="1" x14ac:dyDescent="0.25">
      <c r="A407" s="61" t="str">
        <f>IF(Teams&gt;=58, IF(Ballots = 3, "4", "Hide"), "Hide")</f>
        <v>Hide</v>
      </c>
      <c r="B407" s="386"/>
      <c r="C407" s="277"/>
      <c r="D407" s="278"/>
      <c r="E407" s="278"/>
      <c r="F407" s="75"/>
      <c r="G407" s="68" t="s">
        <v>51</v>
      </c>
      <c r="H407" s="27"/>
      <c r="I407" s="244"/>
      <c r="K407" s="366">
        <v>17</v>
      </c>
      <c r="L407" s="367" t="e">
        <f>MATCH(K407,'Ballot Entry'!$L$321:$L$355,0)</f>
        <v>#N/A</v>
      </c>
      <c r="M407" s="368" t="e">
        <f t="shared" si="54"/>
        <v>#N/A</v>
      </c>
      <c r="N407" s="368" t="e">
        <f t="shared" si="59"/>
        <v>#N/A</v>
      </c>
      <c r="O407" s="368" t="e">
        <f t="shared" si="56"/>
        <v>#N/A</v>
      </c>
      <c r="P407" s="368" t="e">
        <f t="shared" si="57"/>
        <v>#N/A</v>
      </c>
      <c r="Q407" s="374" t="e">
        <f t="shared" si="58"/>
        <v>#N/A</v>
      </c>
    </row>
    <row r="408" spans="1:17" ht="15" thickTop="1" x14ac:dyDescent="0.3">
      <c r="A408" s="62" t="str">
        <f>IF(Teams&gt;=60, "4", "Hide")</f>
        <v>Hide</v>
      </c>
      <c r="B408" s="387">
        <f>B302</f>
        <v>0</v>
      </c>
      <c r="C408" s="279" t="s">
        <v>220</v>
      </c>
      <c r="D408" s="280"/>
      <c r="E408" s="279" t="s">
        <v>221</v>
      </c>
      <c r="F408" s="76"/>
      <c r="G408" s="69" t="s">
        <v>49</v>
      </c>
      <c r="H408" s="28"/>
      <c r="I408" s="245"/>
      <c r="K408" s="366">
        <v>18</v>
      </c>
      <c r="L408" s="367" t="e">
        <f>MATCH(K408,'Ballot Entry'!$L$321:$L$355,0)</f>
        <v>#N/A</v>
      </c>
      <c r="M408" s="368" t="e">
        <f t="shared" si="54"/>
        <v>#N/A</v>
      </c>
      <c r="N408" s="368" t="e">
        <f t="shared" si="59"/>
        <v>#N/A</v>
      </c>
      <c r="O408" s="368" t="e">
        <f t="shared" si="56"/>
        <v>#N/A</v>
      </c>
      <c r="P408" s="368" t="e">
        <f t="shared" si="57"/>
        <v>#N/A</v>
      </c>
      <c r="Q408" s="374" t="e">
        <f t="shared" si="58"/>
        <v>#N/A</v>
      </c>
    </row>
    <row r="409" spans="1:17" x14ac:dyDescent="0.2">
      <c r="A409" s="63" t="str">
        <f>IF(Teams&gt;=60, "4", "Hide")</f>
        <v>Hide</v>
      </c>
      <c r="B409" s="386"/>
      <c r="G409" s="68" t="s">
        <v>50</v>
      </c>
      <c r="H409" s="29"/>
      <c r="I409" s="246"/>
      <c r="K409" s="366">
        <v>19</v>
      </c>
      <c r="L409" s="367" t="e">
        <f>MATCH(K409,'Ballot Entry'!$L$321:$L$355,0)</f>
        <v>#N/A</v>
      </c>
      <c r="M409" s="368" t="e">
        <f t="shared" si="54"/>
        <v>#N/A</v>
      </c>
      <c r="N409" s="368" t="e">
        <f t="shared" si="59"/>
        <v>#N/A</v>
      </c>
      <c r="O409" s="368" t="e">
        <f t="shared" si="56"/>
        <v>#N/A</v>
      </c>
      <c r="P409" s="368" t="e">
        <f t="shared" si="57"/>
        <v>#N/A</v>
      </c>
      <c r="Q409" s="374" t="e">
        <f t="shared" si="58"/>
        <v>#N/A</v>
      </c>
    </row>
    <row r="410" spans="1:17" ht="13.5" thickBot="1" x14ac:dyDescent="0.25">
      <c r="A410" s="64" t="str">
        <f>IF(Teams&gt;=60, IF(Ballots = 3, "4", "Hide"), "Hide")</f>
        <v>Hide</v>
      </c>
      <c r="B410" s="388"/>
      <c r="C410" s="281"/>
      <c r="D410" s="282"/>
      <c r="E410" s="282"/>
      <c r="F410" s="77"/>
      <c r="G410" s="70" t="s">
        <v>51</v>
      </c>
      <c r="H410" s="30"/>
      <c r="I410" s="247"/>
      <c r="K410" s="366">
        <v>20</v>
      </c>
      <c r="L410" s="367" t="e">
        <f>MATCH(K410,'Ballot Entry'!$L$321:$L$355,0)</f>
        <v>#N/A</v>
      </c>
      <c r="M410" s="368" t="e">
        <f t="shared" si="54"/>
        <v>#N/A</v>
      </c>
      <c r="N410" s="368" t="e">
        <f t="shared" ref="N410:N425" si="60">INDEX(Round4,L410,3)</f>
        <v>#N/A</v>
      </c>
      <c r="O410" s="368" t="e">
        <f t="shared" si="56"/>
        <v>#N/A</v>
      </c>
      <c r="P410" s="368" t="e">
        <f t="shared" si="57"/>
        <v>#N/A</v>
      </c>
      <c r="Q410" s="374" t="e">
        <f t="shared" si="58"/>
        <v>#N/A</v>
      </c>
    </row>
    <row r="411" spans="1:17" ht="15" thickTop="1" x14ac:dyDescent="0.3">
      <c r="A411" s="60" t="str">
        <f>IF(Teams&gt;=62, "4", "Hide")</f>
        <v>Hide</v>
      </c>
      <c r="B411" s="384">
        <f>B305</f>
        <v>0</v>
      </c>
      <c r="C411" s="276" t="s">
        <v>220</v>
      </c>
      <c r="D411" s="384"/>
      <c r="E411" s="276" t="s">
        <v>221</v>
      </c>
      <c r="F411" s="74"/>
      <c r="G411" s="67" t="s">
        <v>49</v>
      </c>
      <c r="H411" s="25"/>
      <c r="I411" s="242"/>
      <c r="K411" s="366">
        <v>21</v>
      </c>
      <c r="L411" s="367" t="e">
        <f>MATCH(K411,'Ballot Entry'!$L$321:$L$355,0)</f>
        <v>#N/A</v>
      </c>
      <c r="M411" s="368" t="e">
        <f t="shared" si="54"/>
        <v>#N/A</v>
      </c>
      <c r="N411" s="368" t="e">
        <f t="shared" si="60"/>
        <v>#N/A</v>
      </c>
      <c r="O411" s="368" t="e">
        <f t="shared" si="56"/>
        <v>#N/A</v>
      </c>
      <c r="P411" s="368" t="e">
        <f t="shared" si="57"/>
        <v>#N/A</v>
      </c>
      <c r="Q411" s="374" t="e">
        <f t="shared" si="58"/>
        <v>#N/A</v>
      </c>
    </row>
    <row r="412" spans="1:17" x14ac:dyDescent="0.2">
      <c r="A412" s="61" t="str">
        <f>IF(Teams&gt;=62, "4", "Hide")</f>
        <v>Hide</v>
      </c>
      <c r="G412" s="68" t="s">
        <v>50</v>
      </c>
      <c r="H412" s="26"/>
      <c r="I412" s="243"/>
      <c r="K412" s="366">
        <v>22</v>
      </c>
      <c r="L412" s="367" t="e">
        <f>MATCH(K412,'Ballot Entry'!$L$321:$L$355,0)</f>
        <v>#N/A</v>
      </c>
      <c r="M412" s="368" t="e">
        <f t="shared" si="54"/>
        <v>#N/A</v>
      </c>
      <c r="N412" s="368" t="e">
        <f t="shared" si="60"/>
        <v>#N/A</v>
      </c>
      <c r="O412" s="368" t="e">
        <f t="shared" si="56"/>
        <v>#N/A</v>
      </c>
      <c r="P412" s="368" t="e">
        <f t="shared" si="57"/>
        <v>#N/A</v>
      </c>
      <c r="Q412" s="374" t="e">
        <f t="shared" si="58"/>
        <v>#N/A</v>
      </c>
    </row>
    <row r="413" spans="1:17" ht="13.5" thickBot="1" x14ac:dyDescent="0.25">
      <c r="A413" s="61" t="str">
        <f>IF(Teams&gt;=62, IF(Ballots = 3, "4", "Hide"), "Hide")</f>
        <v>Hide</v>
      </c>
      <c r="B413" s="386"/>
      <c r="C413" s="277"/>
      <c r="D413" s="278"/>
      <c r="E413" s="278"/>
      <c r="F413" s="75"/>
      <c r="G413" s="68" t="s">
        <v>51</v>
      </c>
      <c r="H413" s="27"/>
      <c r="I413" s="244"/>
      <c r="K413" s="366">
        <v>23</v>
      </c>
      <c r="L413" s="367" t="e">
        <f>MATCH(K413,'Ballot Entry'!$L$321:$L$355,0)</f>
        <v>#N/A</v>
      </c>
      <c r="M413" s="368" t="e">
        <f t="shared" si="54"/>
        <v>#N/A</v>
      </c>
      <c r="N413" s="368" t="e">
        <f t="shared" si="60"/>
        <v>#N/A</v>
      </c>
      <c r="O413" s="368" t="e">
        <f t="shared" si="56"/>
        <v>#N/A</v>
      </c>
      <c r="P413" s="368" t="e">
        <f t="shared" si="57"/>
        <v>#N/A</v>
      </c>
      <c r="Q413" s="374" t="e">
        <f t="shared" si="58"/>
        <v>#N/A</v>
      </c>
    </row>
    <row r="414" spans="1:17" ht="15" thickTop="1" x14ac:dyDescent="0.3">
      <c r="A414" s="62" t="str">
        <f>IF(Teams&gt;=64, "4", "Hide")</f>
        <v>Hide</v>
      </c>
      <c r="B414" s="387">
        <f>B308</f>
        <v>0</v>
      </c>
      <c r="C414" s="279" t="s">
        <v>220</v>
      </c>
      <c r="D414" s="280"/>
      <c r="E414" s="279" t="s">
        <v>221</v>
      </c>
      <c r="F414" s="76"/>
      <c r="G414" s="69" t="s">
        <v>49</v>
      </c>
      <c r="H414" s="28"/>
      <c r="I414" s="245"/>
      <c r="K414" s="366">
        <v>24</v>
      </c>
      <c r="L414" s="367" t="e">
        <f>MATCH(K414,'Ballot Entry'!$L$321:$L$355,0)</f>
        <v>#N/A</v>
      </c>
      <c r="M414" s="368" t="e">
        <f t="shared" si="54"/>
        <v>#N/A</v>
      </c>
      <c r="N414" s="368" t="e">
        <f t="shared" si="60"/>
        <v>#N/A</v>
      </c>
      <c r="O414" s="368" t="e">
        <f t="shared" si="56"/>
        <v>#N/A</v>
      </c>
      <c r="P414" s="368" t="e">
        <f t="shared" si="57"/>
        <v>#N/A</v>
      </c>
      <c r="Q414" s="374" t="e">
        <f t="shared" si="58"/>
        <v>#N/A</v>
      </c>
    </row>
    <row r="415" spans="1:17" x14ac:dyDescent="0.2">
      <c r="A415" s="63" t="str">
        <f>IF(Teams&gt;=64, "4", "Hide")</f>
        <v>Hide</v>
      </c>
      <c r="B415" s="386"/>
      <c r="G415" s="68" t="s">
        <v>50</v>
      </c>
      <c r="H415" s="29"/>
      <c r="I415" s="246"/>
      <c r="K415" s="366">
        <v>25</v>
      </c>
      <c r="L415" s="367" t="e">
        <f>MATCH(K415,'Ballot Entry'!$L$321:$L$355,0)</f>
        <v>#N/A</v>
      </c>
      <c r="M415" s="368" t="e">
        <f t="shared" si="54"/>
        <v>#N/A</v>
      </c>
      <c r="N415" s="368" t="e">
        <f t="shared" si="60"/>
        <v>#N/A</v>
      </c>
      <c r="O415" s="368" t="e">
        <f t="shared" si="56"/>
        <v>#N/A</v>
      </c>
      <c r="P415" s="368" t="e">
        <f t="shared" si="57"/>
        <v>#N/A</v>
      </c>
      <c r="Q415" s="374" t="e">
        <f t="shared" si="58"/>
        <v>#N/A</v>
      </c>
    </row>
    <row r="416" spans="1:17" ht="13.5" thickBot="1" x14ac:dyDescent="0.25">
      <c r="A416" s="64" t="str">
        <f>IF(Teams&gt;=64, IF(Ballots = 3, "4", "Hide"), "Hide")</f>
        <v>Hide</v>
      </c>
      <c r="B416" s="388"/>
      <c r="C416" s="281"/>
      <c r="D416" s="282"/>
      <c r="E416" s="282"/>
      <c r="F416" s="77"/>
      <c r="G416" s="70" t="s">
        <v>51</v>
      </c>
      <c r="H416" s="30"/>
      <c r="I416" s="247"/>
      <c r="K416" s="366">
        <v>26</v>
      </c>
      <c r="L416" s="367" t="e">
        <f>MATCH(K416,'Ballot Entry'!$L$321:$L$355,0)</f>
        <v>#N/A</v>
      </c>
      <c r="M416" s="368" t="e">
        <f t="shared" si="54"/>
        <v>#N/A</v>
      </c>
      <c r="N416" s="368" t="e">
        <f t="shared" si="60"/>
        <v>#N/A</v>
      </c>
      <c r="O416" s="368" t="e">
        <f t="shared" si="56"/>
        <v>#N/A</v>
      </c>
      <c r="P416" s="368" t="e">
        <f t="shared" si="57"/>
        <v>#N/A</v>
      </c>
      <c r="Q416" s="374" t="e">
        <f t="shared" si="58"/>
        <v>#N/A</v>
      </c>
    </row>
    <row r="417" spans="1:17" ht="15" thickTop="1" x14ac:dyDescent="0.3">
      <c r="A417" s="60" t="str">
        <f>IF(Teams&gt;=66, "4", "Hide")</f>
        <v>Hide</v>
      </c>
      <c r="B417" s="384">
        <f>B311</f>
        <v>0</v>
      </c>
      <c r="C417" s="276" t="s">
        <v>220</v>
      </c>
      <c r="D417" s="384"/>
      <c r="E417" s="276" t="s">
        <v>221</v>
      </c>
      <c r="F417" s="74"/>
      <c r="G417" s="67" t="s">
        <v>49</v>
      </c>
      <c r="H417" s="25"/>
      <c r="I417" s="242"/>
      <c r="K417" s="366">
        <v>27</v>
      </c>
      <c r="L417" s="367" t="e">
        <f>MATCH(K417,'Ballot Entry'!$L$321:$L$355,0)</f>
        <v>#N/A</v>
      </c>
      <c r="M417" s="368" t="e">
        <f t="shared" si="54"/>
        <v>#N/A</v>
      </c>
      <c r="N417" s="368" t="e">
        <f t="shared" si="60"/>
        <v>#N/A</v>
      </c>
      <c r="O417" s="368" t="e">
        <f t="shared" si="56"/>
        <v>#N/A</v>
      </c>
      <c r="P417" s="368" t="e">
        <f t="shared" si="57"/>
        <v>#N/A</v>
      </c>
      <c r="Q417" s="374" t="e">
        <f t="shared" si="58"/>
        <v>#N/A</v>
      </c>
    </row>
    <row r="418" spans="1:17" x14ac:dyDescent="0.2">
      <c r="A418" s="61" t="str">
        <f>IF(Teams&gt;=66, "4", "Hide")</f>
        <v>Hide</v>
      </c>
      <c r="G418" s="68" t="s">
        <v>50</v>
      </c>
      <c r="H418" s="26"/>
      <c r="I418" s="243"/>
      <c r="K418" s="366">
        <v>28</v>
      </c>
      <c r="L418" s="367" t="e">
        <f>MATCH(K418,'Ballot Entry'!$L$321:$L$355,0)</f>
        <v>#N/A</v>
      </c>
      <c r="M418" s="368" t="e">
        <f t="shared" si="54"/>
        <v>#N/A</v>
      </c>
      <c r="N418" s="368" t="e">
        <f t="shared" si="60"/>
        <v>#N/A</v>
      </c>
      <c r="O418" s="368" t="e">
        <f t="shared" si="56"/>
        <v>#N/A</v>
      </c>
      <c r="P418" s="368" t="e">
        <f t="shared" si="57"/>
        <v>#N/A</v>
      </c>
      <c r="Q418" s="374" t="e">
        <f t="shared" si="58"/>
        <v>#N/A</v>
      </c>
    </row>
    <row r="419" spans="1:17" ht="13.5" thickBot="1" x14ac:dyDescent="0.25">
      <c r="A419" s="61" t="str">
        <f>IF(Teams&gt;=66, IF(Ballots = 3, "4", "Hide"), "Hide")</f>
        <v>Hide</v>
      </c>
      <c r="B419" s="386"/>
      <c r="C419" s="277"/>
      <c r="D419" s="278"/>
      <c r="E419" s="278"/>
      <c r="F419" s="75"/>
      <c r="G419" s="68" t="s">
        <v>51</v>
      </c>
      <c r="H419" s="27"/>
      <c r="I419" s="244"/>
      <c r="K419" s="366">
        <v>29</v>
      </c>
      <c r="L419" s="367" t="e">
        <f>MATCH(K419,'Ballot Entry'!$L$321:$L$355,0)</f>
        <v>#N/A</v>
      </c>
      <c r="M419" s="368" t="e">
        <f t="shared" si="54"/>
        <v>#N/A</v>
      </c>
      <c r="N419" s="368" t="e">
        <f t="shared" si="60"/>
        <v>#N/A</v>
      </c>
      <c r="O419" s="368" t="e">
        <f t="shared" si="56"/>
        <v>#N/A</v>
      </c>
      <c r="P419" s="368" t="e">
        <f t="shared" si="57"/>
        <v>#N/A</v>
      </c>
      <c r="Q419" s="374" t="e">
        <f t="shared" si="58"/>
        <v>#N/A</v>
      </c>
    </row>
    <row r="420" spans="1:17" ht="15" thickTop="1" x14ac:dyDescent="0.3">
      <c r="A420" s="62" t="str">
        <f>IF(Teams&gt;=68, "4", "Hide")</f>
        <v>Hide</v>
      </c>
      <c r="B420" s="387">
        <f>B314</f>
        <v>0</v>
      </c>
      <c r="C420" s="279" t="s">
        <v>220</v>
      </c>
      <c r="D420" s="280"/>
      <c r="E420" s="279" t="s">
        <v>221</v>
      </c>
      <c r="F420" s="76"/>
      <c r="G420" s="69" t="s">
        <v>49</v>
      </c>
      <c r="H420" s="28"/>
      <c r="I420" s="245"/>
      <c r="K420" s="366">
        <v>30</v>
      </c>
      <c r="L420" s="367" t="e">
        <f>MATCH(K420,'Ballot Entry'!$L$321:$L$355,0)</f>
        <v>#N/A</v>
      </c>
      <c r="M420" s="368" t="e">
        <f t="shared" si="54"/>
        <v>#N/A</v>
      </c>
      <c r="N420" s="368" t="e">
        <f t="shared" si="60"/>
        <v>#N/A</v>
      </c>
      <c r="O420" s="368" t="e">
        <f t="shared" si="56"/>
        <v>#N/A</v>
      </c>
      <c r="P420" s="368" t="e">
        <f t="shared" si="57"/>
        <v>#N/A</v>
      </c>
      <c r="Q420" s="374" t="e">
        <f t="shared" si="58"/>
        <v>#N/A</v>
      </c>
    </row>
    <row r="421" spans="1:17" x14ac:dyDescent="0.2">
      <c r="A421" s="63" t="str">
        <f>IF(Teams&gt;=68, "4", "Hide")</f>
        <v>Hide</v>
      </c>
      <c r="B421" s="386"/>
      <c r="G421" s="68" t="s">
        <v>50</v>
      </c>
      <c r="H421" s="29"/>
      <c r="I421" s="246"/>
      <c r="K421" s="366">
        <v>31</v>
      </c>
      <c r="L421" s="367" t="e">
        <f>MATCH(K421,'Ballot Entry'!$L$321:$L$355,0)</f>
        <v>#N/A</v>
      </c>
      <c r="M421" s="368" t="e">
        <f t="shared" si="54"/>
        <v>#N/A</v>
      </c>
      <c r="N421" s="368" t="e">
        <f t="shared" si="60"/>
        <v>#N/A</v>
      </c>
      <c r="O421" s="368" t="e">
        <f t="shared" si="56"/>
        <v>#N/A</v>
      </c>
      <c r="P421" s="368" t="e">
        <f t="shared" si="57"/>
        <v>#N/A</v>
      </c>
      <c r="Q421" s="374" t="e">
        <f t="shared" si="58"/>
        <v>#N/A</v>
      </c>
    </row>
    <row r="422" spans="1:17" ht="13.5" thickBot="1" x14ac:dyDescent="0.25">
      <c r="A422" s="64" t="str">
        <f>IF(Teams&gt;=68, IF(Ballots = 3, "4", "Hide"), "Hide")</f>
        <v>Hide</v>
      </c>
      <c r="B422" s="388"/>
      <c r="C422" s="281"/>
      <c r="D422" s="282"/>
      <c r="E422" s="282"/>
      <c r="F422" s="77"/>
      <c r="G422" s="70" t="s">
        <v>51</v>
      </c>
      <c r="H422" s="30"/>
      <c r="I422" s="247"/>
      <c r="K422" s="366">
        <v>32</v>
      </c>
      <c r="L422" s="367" t="e">
        <f>MATCH(K422,'Ballot Entry'!$L$321:$L$355,0)</f>
        <v>#N/A</v>
      </c>
      <c r="M422" s="368" t="e">
        <f t="shared" si="54"/>
        <v>#N/A</v>
      </c>
      <c r="N422" s="368" t="e">
        <f t="shared" si="60"/>
        <v>#N/A</v>
      </c>
      <c r="O422" s="368" t="e">
        <f t="shared" si="56"/>
        <v>#N/A</v>
      </c>
      <c r="P422" s="368" t="e">
        <f t="shared" si="57"/>
        <v>#N/A</v>
      </c>
      <c r="Q422" s="374" t="e">
        <f t="shared" si="58"/>
        <v>#N/A</v>
      </c>
    </row>
    <row r="423" spans="1:17" ht="15" thickTop="1" x14ac:dyDescent="0.3">
      <c r="A423" s="60" t="str">
        <f>IF(Teams&gt;=70, "4", "Hide")</f>
        <v>Hide</v>
      </c>
      <c r="B423" s="384">
        <f>B317</f>
        <v>0</v>
      </c>
      <c r="C423" s="276" t="s">
        <v>220</v>
      </c>
      <c r="D423" s="384"/>
      <c r="E423" s="276" t="s">
        <v>221</v>
      </c>
      <c r="F423" s="74"/>
      <c r="G423" s="67" t="s">
        <v>49</v>
      </c>
      <c r="H423" s="25"/>
      <c r="I423" s="242"/>
      <c r="K423" s="366">
        <v>33</v>
      </c>
      <c r="L423" s="367" t="e">
        <f>MATCH(K423,'Ballot Entry'!$L$321:$L$355,0)</f>
        <v>#N/A</v>
      </c>
      <c r="M423" s="368" t="e">
        <f t="shared" si="54"/>
        <v>#N/A</v>
      </c>
      <c r="N423" s="368" t="e">
        <f t="shared" si="60"/>
        <v>#N/A</v>
      </c>
      <c r="O423" s="368" t="e">
        <f t="shared" si="56"/>
        <v>#N/A</v>
      </c>
      <c r="P423" s="368" t="e">
        <f t="shared" si="57"/>
        <v>#N/A</v>
      </c>
      <c r="Q423" s="374" t="e">
        <f t="shared" si="58"/>
        <v>#N/A</v>
      </c>
    </row>
    <row r="424" spans="1:17" x14ac:dyDescent="0.2">
      <c r="A424" s="61" t="str">
        <f>IF(Teams&gt;=70, "4", "Hide")</f>
        <v>Hide</v>
      </c>
      <c r="G424" s="68" t="s">
        <v>50</v>
      </c>
      <c r="H424" s="26"/>
      <c r="I424" s="243"/>
      <c r="K424" s="366">
        <v>34</v>
      </c>
      <c r="L424" s="367" t="e">
        <f>MATCH(K424,'Ballot Entry'!$L$321:$L$355,0)</f>
        <v>#N/A</v>
      </c>
      <c r="M424" s="368" t="e">
        <f t="shared" si="54"/>
        <v>#N/A</v>
      </c>
      <c r="N424" s="368" t="e">
        <f t="shared" si="60"/>
        <v>#N/A</v>
      </c>
      <c r="O424" s="368" t="e">
        <f t="shared" si="56"/>
        <v>#N/A</v>
      </c>
      <c r="P424" s="368" t="e">
        <f t="shared" si="57"/>
        <v>#N/A</v>
      </c>
      <c r="Q424" s="374" t="e">
        <f t="shared" si="58"/>
        <v>#N/A</v>
      </c>
    </row>
    <row r="425" spans="1:17" ht="13.5" thickBot="1" x14ac:dyDescent="0.25">
      <c r="A425" s="61" t="str">
        <f>IF(Teams&gt;=70, IF(Ballots = 3, "4", "Hide"), "Hide")</f>
        <v>Hide</v>
      </c>
      <c r="B425" s="386"/>
      <c r="C425" s="277"/>
      <c r="D425" s="278"/>
      <c r="E425" s="278"/>
      <c r="F425" s="75"/>
      <c r="G425" s="68" t="s">
        <v>51</v>
      </c>
      <c r="H425" s="27"/>
      <c r="I425" s="244"/>
      <c r="K425" s="375">
        <v>35</v>
      </c>
      <c r="L425" s="376" t="e">
        <f>MATCH(K425,'Ballot Entry'!$L$321:$L$355,0)</f>
        <v>#N/A</v>
      </c>
      <c r="M425" s="377" t="e">
        <f t="shared" si="54"/>
        <v>#N/A</v>
      </c>
      <c r="N425" s="377" t="e">
        <f t="shared" si="60"/>
        <v>#N/A</v>
      </c>
      <c r="O425" s="377" t="e">
        <f t="shared" si="56"/>
        <v>#N/A</v>
      </c>
      <c r="P425" s="377" t="e">
        <f t="shared" si="57"/>
        <v>#N/A</v>
      </c>
      <c r="Q425" s="378" t="e">
        <f t="shared" si="58"/>
        <v>#N/A</v>
      </c>
    </row>
    <row r="426" spans="1:17" ht="13.5" thickTop="1" x14ac:dyDescent="0.2"/>
  </sheetData>
  <sheetProtection algorithmName="SHA-512" hashValue="qCghsl/2ZfGymNaTp+xNpVClyHTr33kj7vV6SHAfJjFk89/UlD6gtJoVcvI/P/LO8cpOBdov0O4k1HCqCSoEhQ==" saltValue="5ByfKTezS0fmCUg+p4cKzw==" spinCount="100000" sheet="1" selectLockedCells="1" autoFilter="0"/>
  <autoFilter ref="A2:A425" xr:uid="{00000000-0009-0000-0000-000003000000}"/>
  <dataConsolidate/>
  <mergeCells count="2">
    <mergeCell ref="H1:H2"/>
    <mergeCell ref="I1:I2"/>
  </mergeCells>
  <phoneticPr fontId="49" type="noConversion"/>
  <conditionalFormatting sqref="I1:I62 I214 I320 I108">
    <cfRule type="cellIs" dxfId="842" priority="37" operator="lessThan">
      <formula>0</formula>
    </cfRule>
  </conditionalFormatting>
  <conditionalFormatting sqref="F6 D6 F3">
    <cfRule type="duplicateValues" dxfId="841" priority="31"/>
  </conditionalFormatting>
  <conditionalFormatting sqref="I215:I274">
    <cfRule type="cellIs" dxfId="840" priority="8" operator="lessThan">
      <formula>0</formula>
    </cfRule>
  </conditionalFormatting>
  <conditionalFormatting sqref="F12 F18 F24 F30 F36 F42 F48 F54 F60 F66 F72 F78 F84 F90 F96 F102 D12 D18 D24 D30 D36 D42 D48 D54 D60 D66 D72 D78 D84 D90 D96 D102 F9 F15 F21 F27 F33 F39 F45 F51 F57 F63 F69 F75 F81 F87 F93 F99 F105">
    <cfRule type="duplicateValues" dxfId="839" priority="14"/>
  </conditionalFormatting>
  <conditionalFormatting sqref="I63:I107">
    <cfRule type="cellIs" dxfId="838" priority="13" operator="lessThan">
      <formula>0</formula>
    </cfRule>
  </conditionalFormatting>
  <conditionalFormatting sqref="I109:I168">
    <cfRule type="cellIs" dxfId="837" priority="12" operator="lessThan">
      <formula>0</formula>
    </cfRule>
  </conditionalFormatting>
  <conditionalFormatting sqref="F112 D112 F109">
    <cfRule type="duplicateValues" dxfId="836" priority="11"/>
  </conditionalFormatting>
  <conditionalFormatting sqref="F118 F124 F130 F136 F142 F148 F154 F160 F166 F172 F178 F184 F190 F196 F202 F208 D118 D124 D130 D136 D142 D148 D154 D160 D166 D172 D178 D184 D190 D196 D202 D208 F115 F121 F127 F133 F139 F145 F151 F157 F163 F169 F175 F181 F187 F193 F199 F205 F211">
    <cfRule type="duplicateValues" dxfId="835" priority="10"/>
  </conditionalFormatting>
  <conditionalFormatting sqref="I169:I213">
    <cfRule type="cellIs" dxfId="834" priority="9" operator="lessThan">
      <formula>0</formula>
    </cfRule>
  </conditionalFormatting>
  <conditionalFormatting sqref="F218 D218 F215">
    <cfRule type="duplicateValues" dxfId="833" priority="7"/>
  </conditionalFormatting>
  <conditionalFormatting sqref="F224 F230 F236 F242 F248 F254 F260 F266 F272 F278 F284 F290 F296 F302 F308 F314 D224 D230 D236 D242 D248 D254 D260 D266 D272 D278 D284 D290 D296 D302 D308 D314 F221 F227 F233 F239 F245 F251 F257 F263 F269 F275 F281 F287 F293 F299 F305 F311 F317">
    <cfRule type="duplicateValues" dxfId="832" priority="6"/>
  </conditionalFormatting>
  <conditionalFormatting sqref="I275:I319">
    <cfRule type="cellIs" dxfId="831" priority="5" operator="lessThan">
      <formula>0</formula>
    </cfRule>
  </conditionalFormatting>
  <conditionalFormatting sqref="I321:I380">
    <cfRule type="cellIs" dxfId="830" priority="4" operator="lessThan">
      <formula>0</formula>
    </cfRule>
  </conditionalFormatting>
  <conditionalFormatting sqref="F324 D324 F321">
    <cfRule type="duplicateValues" dxfId="829" priority="3"/>
  </conditionalFormatting>
  <conditionalFormatting sqref="F330 F336 F342 F348 F354 F360 F366 F372 F378 F384 F390 F396 F402 F408 F414 F420 D330 D336 D342 D348 D354 D360 D366 D372 D378 D384 D390 D396 D402 D408 D414 D420 F327 F333 F339 F345 F351 F357 F363 F369 F375 F381 F387 F393 F399 F405 F411 F417 F423">
    <cfRule type="duplicateValues" dxfId="828" priority="2"/>
  </conditionalFormatting>
  <conditionalFormatting sqref="I381:I425">
    <cfRule type="cellIs" dxfId="827" priority="1" operator="lessThan">
      <formula>0</formula>
    </cfRule>
  </conditionalFormatting>
  <dataValidations count="2">
    <dataValidation type="list" allowBlank="1" showInputMessage="1" showErrorMessage="1" sqref="H3:H425" xr:uid="{00000000-0002-0000-0300-000000000000}">
      <formula1>$R$1:$R$3</formula1>
    </dataValidation>
    <dataValidation type="list" allowBlank="1" showInputMessage="1" showErrorMessage="1" sqref="D3 F3 D6 F6 D9 F9 D12 F12 D15 F15 D18 F18 D21 F21 D24 F24 D27 F27 D30 F30 D33 F33 D36 F36 D39 F39 D42 F42 D45 F45 D48 F48 D51 F51 D54 F54 D57 F57 D60 F60 D109 F109 D112 F112 D115 F115 D118 F118 D121 F121 D124 F124 D127 F127 D130 F130 D133 F133 D136 F136 D139 F139 D142 F142 D145 F145 D148 F148 D151 F151 D154 F154 D157 F157 D160 F160 D163 F163 D166 F166 D215 F215 D218 D266 D221 F221 D224 F224 D227 F227 D230 F230 D233 F233 D236 F236 D239 F239 D242 F242 D245 F245 D248 F248 D251 F251 D254 F254 D257 F257 D260 F260 D263 F263 F378 F266 D269 F269 D272 F272 D321 F321 D324 F324 D327 F327 D330 F330 D333 F333 D336 F336 D339 F339 D342 F342 D345 F345 D348 F348 D351 F351 D354 F354 D357 F357 D360 F360 D363 F363 D366 F366 D369 F369 D372 F372 D375 F375 D378 F218 D63 F63 D66 F66 D69 F69 D72 F72 D75 F75 D78 F78 D81 F81 D84 F84 D87 F87 D90 F90 D93 F93 D96 F96 D99 F99 D102 F102 D105 F105 D381 F381 D384 F384 D387 F387 D390 F390 D393 F393 D396 F396 D399 F399 D402 F402 D405 F405 D408 F408 D411 F411 D414 F414 D417 F417 D420 F420 D423 F423 D169 F169 D172 F172 D175 F175 D178 F178 D181 F181 D184 F184 D187 F187 D190 F190 D193 F193 D196 F196 D199 F199 D202 F202 D205 F205 D208 F208 D211 F211 D275 F275 D278 F278 D281 F281 D284 F284 D287 F287 D290 F290 D293 F293 D296 F296 D299 F299 D302 F302 D305 F305 D308 F308 D311 F311 D314 F314 D317 F317" xr:uid="{00000000-0002-0000-0300-000001000000}">
      <formula1>$U$3:$U$72</formula1>
    </dataValidation>
  </dataValidations>
  <pageMargins left="0.7" right="0.7" top="0.75" bottom="0.75" header="0.3" footer="0.3"/>
  <pageSetup scale="60" fitToHeight="0" orientation="landscape"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834"/>
  <sheetViews>
    <sheetView topLeftCell="B1" workbookViewId="0">
      <selection activeCell="E26" sqref="E26"/>
    </sheetView>
  </sheetViews>
  <sheetFormatPr defaultColWidth="11.42578125" defaultRowHeight="12.75" x14ac:dyDescent="0.2"/>
  <cols>
    <col min="1" max="1" width="7.140625" style="317" hidden="1" customWidth="1"/>
    <col min="2" max="2" width="7.140625" style="319" customWidth="1"/>
    <col min="3" max="3" width="7.140625" style="324" customWidth="1"/>
    <col min="4" max="4" width="7.140625" style="319" customWidth="1"/>
    <col min="5" max="5" width="10.5703125" style="317" bestFit="1" customWidth="1"/>
    <col min="6" max="6" width="28.140625" style="317" hidden="1" customWidth="1"/>
    <col min="7" max="7" width="11" style="147" hidden="1" customWidth="1"/>
    <col min="8" max="8" width="9" style="319" hidden="1" customWidth="1"/>
    <col min="9" max="9" width="7.28515625" style="319" hidden="1" customWidth="1"/>
    <col min="10" max="10" width="7.42578125" style="319" hidden="1" customWidth="1"/>
    <col min="11" max="11" width="4.28515625" style="319" hidden="1" customWidth="1"/>
    <col min="12" max="12" width="2" style="317" hidden="1" customWidth="1"/>
    <col min="13" max="13" width="28.7109375" style="317" bestFit="1" customWidth="1"/>
    <col min="14" max="14" width="11.7109375" style="317" customWidth="1"/>
    <col min="15" max="15" width="19.28515625" style="317" hidden="1" customWidth="1"/>
    <col min="16" max="18" width="7.140625" style="317" customWidth="1"/>
    <col min="19" max="19" width="10.5703125" style="317" bestFit="1" customWidth="1"/>
    <col min="20" max="20" width="16.85546875" style="317" hidden="1" customWidth="1"/>
    <col min="21" max="21" width="11" style="317" hidden="1" customWidth="1"/>
    <col min="22" max="22" width="9" style="317" hidden="1" customWidth="1"/>
    <col min="23" max="23" width="7.28515625" style="317" hidden="1" customWidth="1"/>
    <col min="24" max="24" width="7.42578125" style="317" hidden="1" customWidth="1"/>
    <col min="25" max="25" width="4.28515625" style="317" hidden="1" customWidth="1"/>
    <col min="26" max="26" width="2.7109375" style="317" hidden="1" customWidth="1"/>
    <col min="27" max="27" width="28.7109375" style="317" bestFit="1" customWidth="1"/>
    <col min="28" max="16384" width="11.42578125" style="317"/>
  </cols>
  <sheetData>
    <row r="1" spans="1:41" ht="14.25" x14ac:dyDescent="0.2">
      <c r="A1" s="319"/>
      <c r="B1" s="331" t="s">
        <v>342</v>
      </c>
      <c r="C1" s="332"/>
      <c r="D1" s="332"/>
      <c r="E1" s="333"/>
      <c r="F1" s="332"/>
      <c r="G1" s="332"/>
      <c r="H1" s="332"/>
      <c r="I1" s="317" t="s">
        <v>337</v>
      </c>
      <c r="J1" s="331">
        <f>LARGE($K$14:$K$63,Individ_Awards)</f>
        <v>0</v>
      </c>
      <c r="K1" s="332"/>
      <c r="L1" s="332"/>
      <c r="M1" s="332"/>
      <c r="N1" s="332"/>
      <c r="Q1" s="319"/>
      <c r="X1" s="317" t="s">
        <v>337</v>
      </c>
      <c r="Y1" s="331">
        <f>LARGE($Y$14:$Y$63,Individ_Awards)</f>
        <v>0</v>
      </c>
    </row>
    <row r="2" spans="1:41" ht="14.25" x14ac:dyDescent="0.2">
      <c r="A2" s="319"/>
      <c r="B2" s="342" t="s">
        <v>340</v>
      </c>
      <c r="C2" s="332"/>
      <c r="D2" s="332"/>
      <c r="E2" s="333"/>
      <c r="F2" s="332"/>
      <c r="G2" s="332"/>
      <c r="H2" s="332"/>
      <c r="I2" s="332"/>
      <c r="J2" s="332"/>
      <c r="K2" s="332"/>
      <c r="L2" s="332"/>
      <c r="M2" s="332"/>
      <c r="N2" s="332"/>
      <c r="Q2" s="319"/>
    </row>
    <row r="3" spans="1:41" x14ac:dyDescent="0.2">
      <c r="A3" s="319"/>
      <c r="B3" s="342" t="s">
        <v>344</v>
      </c>
      <c r="O3" s="319"/>
      <c r="P3" s="319"/>
      <c r="Q3" s="319"/>
    </row>
    <row r="4" spans="1:41" x14ac:dyDescent="0.2">
      <c r="A4" s="319"/>
      <c r="B4" s="342" t="s">
        <v>341</v>
      </c>
      <c r="O4" s="319"/>
      <c r="P4" s="319"/>
      <c r="Q4" s="319"/>
    </row>
    <row r="5" spans="1:41" x14ac:dyDescent="0.2">
      <c r="A5" s="319"/>
      <c r="B5" s="342" t="s">
        <v>334</v>
      </c>
      <c r="O5" s="319"/>
      <c r="P5" s="319"/>
      <c r="Q5" s="319"/>
    </row>
    <row r="6" spans="1:41" x14ac:dyDescent="0.2">
      <c r="A6" s="319"/>
      <c r="B6" s="342" t="s">
        <v>335</v>
      </c>
      <c r="O6" s="319"/>
      <c r="P6" s="319"/>
      <c r="Q6" s="319"/>
    </row>
    <row r="7" spans="1:41" x14ac:dyDescent="0.2">
      <c r="A7" s="319"/>
      <c r="B7" s="342" t="s">
        <v>343</v>
      </c>
      <c r="O7" s="319"/>
      <c r="P7" s="319"/>
      <c r="Q7" s="319"/>
    </row>
    <row r="8" spans="1:41" x14ac:dyDescent="0.2">
      <c r="A8" s="319"/>
      <c r="B8" s="342" t="s">
        <v>336</v>
      </c>
      <c r="O8" s="319"/>
      <c r="P8" s="319"/>
      <c r="Q8" s="319"/>
    </row>
    <row r="9" spans="1:41" x14ac:dyDescent="0.2">
      <c r="A9" s="319"/>
      <c r="O9" s="319"/>
      <c r="P9" s="319"/>
      <c r="Q9" s="319"/>
    </row>
    <row r="10" spans="1:41" x14ac:dyDescent="0.2">
      <c r="A10" s="319"/>
      <c r="O10" s="319"/>
      <c r="P10" s="319"/>
      <c r="Q10" s="319"/>
    </row>
    <row r="11" spans="1:41" ht="14.25" x14ac:dyDescent="0.2">
      <c r="A11" s="319"/>
      <c r="B11" s="331" t="s">
        <v>331</v>
      </c>
      <c r="C11" s="332"/>
      <c r="D11" s="332"/>
      <c r="E11" s="333" t="str">
        <f>"Cutoff: " &amp;AttyCutoff</f>
        <v>Cutoff: 0</v>
      </c>
      <c r="G11" s="319"/>
      <c r="L11" s="319"/>
      <c r="M11" s="319"/>
      <c r="N11" s="319"/>
      <c r="O11" s="319"/>
      <c r="P11" s="331" t="s">
        <v>338</v>
      </c>
      <c r="Q11" s="332"/>
      <c r="R11" s="332"/>
      <c r="S11" s="333" t="str">
        <f>"Cutoff: " &amp;WitCutoff</f>
        <v>Cutoff: 0</v>
      </c>
    </row>
    <row r="12" spans="1:41" ht="14.25" x14ac:dyDescent="0.2">
      <c r="A12" s="319"/>
      <c r="B12" s="342" t="s">
        <v>333</v>
      </c>
      <c r="C12" s="332"/>
      <c r="D12" s="332"/>
      <c r="E12" s="332"/>
      <c r="F12" s="333"/>
      <c r="G12" s="319"/>
      <c r="L12" s="319"/>
      <c r="M12" s="319"/>
      <c r="N12" s="319"/>
      <c r="O12" s="319"/>
      <c r="P12" s="342" t="s">
        <v>333</v>
      </c>
      <c r="Q12" s="332"/>
      <c r="R12" s="332"/>
      <c r="S12" s="332"/>
    </row>
    <row r="13" spans="1:41" x14ac:dyDescent="0.2">
      <c r="A13" s="319" t="s">
        <v>161</v>
      </c>
      <c r="B13" s="325" t="s">
        <v>24</v>
      </c>
      <c r="C13" s="325" t="s">
        <v>48</v>
      </c>
      <c r="D13" s="325" t="s">
        <v>330</v>
      </c>
      <c r="E13" s="330" t="s">
        <v>9</v>
      </c>
      <c r="F13" s="319" t="s">
        <v>323</v>
      </c>
      <c r="G13" s="319" t="s">
        <v>324</v>
      </c>
      <c r="H13" s="319" t="s">
        <v>325</v>
      </c>
      <c r="I13" s="319" t="s">
        <v>326</v>
      </c>
      <c r="J13" s="319" t="s">
        <v>327</v>
      </c>
      <c r="K13" s="319" t="s">
        <v>328</v>
      </c>
      <c r="M13" s="330" t="s">
        <v>339</v>
      </c>
      <c r="N13" s="319"/>
      <c r="O13" s="319" t="s">
        <v>161</v>
      </c>
      <c r="P13" s="325" t="s">
        <v>24</v>
      </c>
      <c r="Q13" s="325" t="s">
        <v>48</v>
      </c>
      <c r="R13" s="325" t="s">
        <v>330</v>
      </c>
      <c r="S13" s="330" t="s">
        <v>9</v>
      </c>
      <c r="T13" s="319" t="s">
        <v>323</v>
      </c>
      <c r="U13" s="319" t="s">
        <v>324</v>
      </c>
      <c r="V13" s="319" t="s">
        <v>325</v>
      </c>
      <c r="W13" s="319" t="s">
        <v>326</v>
      </c>
      <c r="X13" s="319" t="s">
        <v>327</v>
      </c>
      <c r="Y13" s="319" t="s">
        <v>328</v>
      </c>
      <c r="AA13" s="330" t="s">
        <v>339</v>
      </c>
    </row>
    <row r="14" spans="1:41" x14ac:dyDescent="0.2">
      <c r="A14" s="346">
        <f>RANK($K14,$K$14:$K$63)+COUNTIF(K$14:K14,K14)-1</f>
        <v>1</v>
      </c>
      <c r="B14" s="353">
        <v>1693</v>
      </c>
      <c r="C14" s="343" t="s">
        <v>445</v>
      </c>
      <c r="D14" s="344">
        <v>18</v>
      </c>
      <c r="E14" s="345" t="s">
        <v>446</v>
      </c>
      <c r="F14" s="320" t="str">
        <f t="shared" ref="F14:F29" si="0">E14&amp;C14</f>
        <v>Kate Hayes SlatteryPlaintiff Open</v>
      </c>
      <c r="G14" s="319">
        <f>COUNTIF(E$14:E14,E14)</f>
        <v>1</v>
      </c>
      <c r="H14" s="319">
        <f t="shared" ref="H14:H29" si="1">RANK(K14,$K$14:$K$63,0)</f>
        <v>1</v>
      </c>
      <c r="I14" s="319">
        <f t="shared" ref="I14:I29" si="2">IF(G14=1,SUMIF($F$14:$F$63,E14&amp;"P",$D$14:$D$63),"")</f>
        <v>0</v>
      </c>
      <c r="J14" s="319">
        <f t="shared" ref="J14:J29" si="3">IF(G14=1,SUMIF($F$14:$F$63,E14&amp;"D",$D$14:$D$63),"")</f>
        <v>0</v>
      </c>
      <c r="K14" s="319">
        <f t="shared" ref="K14:K29" si="4">MAX(I14:J14)</f>
        <v>0</v>
      </c>
      <c r="M14" s="355" t="str">
        <f t="shared" ref="M14:M34" si="5">IFERROR(VLOOKUP(B14,TeamRecord,3,FALSE), "")</f>
        <v>Northwestern</v>
      </c>
      <c r="O14" s="319">
        <f>RANK($Y14,$Y$14:$Y$63)+COUNTIF(Y$14:Y14,Y14)-1</f>
        <v>1</v>
      </c>
      <c r="P14" s="350">
        <v>1268</v>
      </c>
      <c r="Q14" s="343" t="s">
        <v>458</v>
      </c>
      <c r="R14" s="344">
        <v>19</v>
      </c>
      <c r="S14" s="345" t="s">
        <v>459</v>
      </c>
      <c r="T14" s="320" t="str">
        <f t="shared" ref="T14:T28" si="6">S14&amp;Q14</f>
        <v>Mashell RahimzadehThornhill</v>
      </c>
      <c r="U14" s="319">
        <f>COUNTIF(S$14:S14,S14)</f>
        <v>1</v>
      </c>
      <c r="V14" s="319">
        <f t="shared" ref="V14:V28" si="7">RANK(Y14,$Y$14:$Y$63,0)</f>
        <v>1</v>
      </c>
      <c r="W14" s="319">
        <f t="shared" ref="W14:W28" si="8">IF(U14=1,SUMIF($T$14:$T$63,S14&amp;"P",$R$14:$R$63),"")</f>
        <v>0</v>
      </c>
      <c r="X14" s="319">
        <f t="shared" ref="X14:X28" si="9">IF(U14=1,SUMIF($T$14:$T$63,S14&amp;"D",$R$14:$R$63),"")</f>
        <v>0</v>
      </c>
      <c r="Y14" s="319">
        <f t="shared" ref="Y14:Y28" si="10">MAX(W14:X14)</f>
        <v>0</v>
      </c>
      <c r="AA14" s="355" t="str">
        <f t="shared" ref="AA14:AA46" si="11">IFERROR(VLOOKUP(P14,TeamRecord,3,FALSE), "")</f>
        <v>Columbia</v>
      </c>
      <c r="AI14" s="319"/>
      <c r="AJ14" s="319"/>
      <c r="AK14" s="319" t="str">
        <f t="shared" ref="AK14:AK26" si="12">IF(AI14=1,SUMIF($F$14:$F$63,AG14&amp;"P",$D$14:$D$63),"")</f>
        <v/>
      </c>
      <c r="AL14" s="319" t="str">
        <f t="shared" ref="AL14:AL26" si="13">IF(AI14=1,SUMIF($F$14:$F$63,AG14&amp;"D",$D$14:$D$63),"")</f>
        <v/>
      </c>
      <c r="AM14" s="319">
        <f>MAX(AK14:AL14)</f>
        <v>0</v>
      </c>
      <c r="AO14" s="355">
        <f t="shared" ref="AO14:AO26" si="14">IFERROR(VLOOKUP(AD14,TeamRecord,3,FALSE), "")</f>
        <v>0</v>
      </c>
    </row>
    <row r="15" spans="1:41" x14ac:dyDescent="0.2">
      <c r="A15" s="347">
        <f>RANK($K15,$K$14:$K$63)+COUNTIF(K$14:K15,K15)-1</f>
        <v>2</v>
      </c>
      <c r="B15" s="354">
        <v>1577</v>
      </c>
      <c r="C15" s="335" t="s">
        <v>447</v>
      </c>
      <c r="D15" s="336">
        <v>14</v>
      </c>
      <c r="E15" s="337" t="s">
        <v>448</v>
      </c>
      <c r="F15" s="320" t="str">
        <f t="shared" si="0"/>
        <v>Sam CrossPlaintiff Mid</v>
      </c>
      <c r="G15" s="319">
        <f>COUNTIF(E$14:E15,E15)</f>
        <v>1</v>
      </c>
      <c r="H15" s="319">
        <f t="shared" si="1"/>
        <v>1</v>
      </c>
      <c r="I15" s="319">
        <f t="shared" si="2"/>
        <v>0</v>
      </c>
      <c r="J15" s="319">
        <f t="shared" si="3"/>
        <v>0</v>
      </c>
      <c r="K15" s="319">
        <f t="shared" si="4"/>
        <v>0</v>
      </c>
      <c r="M15" s="355" t="str">
        <f t="shared" si="5"/>
        <v>Yale</v>
      </c>
      <c r="O15" s="319">
        <f>RANK($Y15,$Y$14:$Y$63)+COUNTIF(Y$14:Y15,Y15)-1</f>
        <v>2</v>
      </c>
      <c r="P15" s="351">
        <v>1557</v>
      </c>
      <c r="Q15" s="335" t="s">
        <v>460</v>
      </c>
      <c r="R15" s="336">
        <v>16</v>
      </c>
      <c r="S15" s="337" t="s">
        <v>461</v>
      </c>
      <c r="T15" s="320" t="str">
        <f t="shared" si="6"/>
        <v>Adam ChaseClark</v>
      </c>
      <c r="U15" s="319">
        <f>COUNTIF(S$14:S15,S15)</f>
        <v>1</v>
      </c>
      <c r="V15" s="319">
        <f t="shared" si="7"/>
        <v>1</v>
      </c>
      <c r="W15" s="319">
        <f t="shared" si="8"/>
        <v>0</v>
      </c>
      <c r="X15" s="319">
        <f t="shared" si="9"/>
        <v>0</v>
      </c>
      <c r="Y15" s="319">
        <f t="shared" si="10"/>
        <v>0</v>
      </c>
      <c r="AA15" s="355" t="str">
        <f t="shared" si="11"/>
        <v>Harvard</v>
      </c>
      <c r="AI15" s="319"/>
      <c r="AJ15" s="319"/>
      <c r="AK15" s="319" t="str">
        <f t="shared" si="12"/>
        <v/>
      </c>
      <c r="AL15" s="319" t="str">
        <f t="shared" si="13"/>
        <v/>
      </c>
      <c r="AM15" s="319">
        <f t="shared" ref="AM15:AM26" si="15">MAX(AK15:AL15)</f>
        <v>0</v>
      </c>
      <c r="AO15" s="355">
        <f t="shared" si="14"/>
        <v>0</v>
      </c>
    </row>
    <row r="16" spans="1:41" x14ac:dyDescent="0.2">
      <c r="A16" s="347">
        <f>RANK($K16,$K$14:$K$63)+COUNTIF(K$14:K16,K16)-1</f>
        <v>3</v>
      </c>
      <c r="B16" s="354">
        <v>1506</v>
      </c>
      <c r="C16" s="335" t="s">
        <v>449</v>
      </c>
      <c r="D16" s="336">
        <v>20</v>
      </c>
      <c r="E16" s="337" t="s">
        <v>450</v>
      </c>
      <c r="F16" s="320" t="str">
        <f t="shared" si="0"/>
        <v>Claudia IsaacPlaintiff Close</v>
      </c>
      <c r="G16" s="319">
        <f>COUNTIF(E$14:E16,E16)</f>
        <v>1</v>
      </c>
      <c r="H16" s="319">
        <f t="shared" si="1"/>
        <v>1</v>
      </c>
      <c r="I16" s="319">
        <f t="shared" si="2"/>
        <v>0</v>
      </c>
      <c r="J16" s="319">
        <f t="shared" si="3"/>
        <v>0</v>
      </c>
      <c r="K16" s="319">
        <f t="shared" si="4"/>
        <v>0</v>
      </c>
      <c r="M16" s="355" t="str">
        <f t="shared" si="5"/>
        <v>New York</v>
      </c>
      <c r="O16" s="319">
        <f>RANK($Y16,$Y$14:$Y$63)+COUNTIF(Y$14:Y16,Y16)-1</f>
        <v>3</v>
      </c>
      <c r="P16" s="351">
        <v>1258</v>
      </c>
      <c r="Q16" s="335" t="s">
        <v>462</v>
      </c>
      <c r="R16" s="336">
        <v>17</v>
      </c>
      <c r="S16" s="337" t="s">
        <v>463</v>
      </c>
      <c r="T16" s="320" t="str">
        <f t="shared" si="6"/>
        <v>Gurbir SinahHawkins</v>
      </c>
      <c r="U16" s="319">
        <f>COUNTIF(S$14:S16,S16)</f>
        <v>1</v>
      </c>
      <c r="V16" s="319">
        <f t="shared" si="7"/>
        <v>1</v>
      </c>
      <c r="W16" s="319">
        <f t="shared" si="8"/>
        <v>0</v>
      </c>
      <c r="X16" s="319">
        <f t="shared" si="9"/>
        <v>0</v>
      </c>
      <c r="Y16" s="319">
        <f t="shared" si="10"/>
        <v>0</v>
      </c>
      <c r="AA16" s="355" t="str">
        <f t="shared" si="11"/>
        <v>UC Berkeley</v>
      </c>
      <c r="AI16" s="319"/>
      <c r="AJ16" s="319"/>
      <c r="AK16" s="319" t="str">
        <f t="shared" si="12"/>
        <v/>
      </c>
      <c r="AL16" s="319" t="str">
        <f t="shared" si="13"/>
        <v/>
      </c>
      <c r="AM16" s="319">
        <f t="shared" si="15"/>
        <v>0</v>
      </c>
      <c r="AO16" s="355">
        <f t="shared" si="14"/>
        <v>0</v>
      </c>
    </row>
    <row r="17" spans="1:41" x14ac:dyDescent="0.2">
      <c r="A17" s="347">
        <f>RANK($K17,$K$14:$K$63)+COUNTIF(K$14:K17,K17)-1</f>
        <v>4</v>
      </c>
      <c r="B17" s="354">
        <v>1577</v>
      </c>
      <c r="C17" s="335" t="s">
        <v>451</v>
      </c>
      <c r="D17" s="336">
        <v>16</v>
      </c>
      <c r="E17" s="337" t="s">
        <v>452</v>
      </c>
      <c r="F17" s="320" t="str">
        <f t="shared" si="0"/>
        <v>Allie MillerDefense Open</v>
      </c>
      <c r="G17" s="319">
        <f>COUNTIF(E$14:E17,E17)</f>
        <v>1</v>
      </c>
      <c r="H17" s="319">
        <f t="shared" si="1"/>
        <v>1</v>
      </c>
      <c r="I17" s="319">
        <f t="shared" si="2"/>
        <v>0</v>
      </c>
      <c r="J17" s="319">
        <f t="shared" si="3"/>
        <v>0</v>
      </c>
      <c r="K17" s="319">
        <f t="shared" si="4"/>
        <v>0</v>
      </c>
      <c r="M17" s="355" t="str">
        <f t="shared" si="5"/>
        <v>Yale</v>
      </c>
      <c r="O17" s="319">
        <f>RANK($Y17,$Y$14:$Y$63)+COUNTIF(Y$14:Y17,Y17)-1</f>
        <v>4</v>
      </c>
      <c r="P17" s="351">
        <v>1577</v>
      </c>
      <c r="Q17" s="335" t="s">
        <v>464</v>
      </c>
      <c r="R17" s="336">
        <v>14</v>
      </c>
      <c r="S17" s="337" t="s">
        <v>465</v>
      </c>
      <c r="T17" s="320" t="str">
        <f t="shared" si="6"/>
        <v>Kai NugentVillifana</v>
      </c>
      <c r="U17" s="319">
        <f>COUNTIF(S$14:S17,S17)</f>
        <v>1</v>
      </c>
      <c r="V17" s="319">
        <f t="shared" si="7"/>
        <v>1</v>
      </c>
      <c r="W17" s="319">
        <f t="shared" si="8"/>
        <v>0</v>
      </c>
      <c r="X17" s="319">
        <f t="shared" si="9"/>
        <v>0</v>
      </c>
      <c r="Y17" s="319">
        <f t="shared" si="10"/>
        <v>0</v>
      </c>
      <c r="AA17" s="355" t="str">
        <f t="shared" si="11"/>
        <v>Yale</v>
      </c>
      <c r="AI17" s="319"/>
      <c r="AJ17" s="319"/>
      <c r="AK17" s="319" t="str">
        <f t="shared" si="12"/>
        <v/>
      </c>
      <c r="AL17" s="319" t="str">
        <f t="shared" si="13"/>
        <v/>
      </c>
      <c r="AM17" s="319">
        <f t="shared" si="15"/>
        <v>0</v>
      </c>
      <c r="AO17" s="355">
        <f t="shared" si="14"/>
        <v>0</v>
      </c>
    </row>
    <row r="18" spans="1:41" x14ac:dyDescent="0.2">
      <c r="A18" s="347">
        <f>RANK($K18,$K$14:$K$63)+COUNTIF(K$14:K18,K18)-1</f>
        <v>5</v>
      </c>
      <c r="B18" s="354">
        <v>1557</v>
      </c>
      <c r="C18" s="335" t="s">
        <v>453</v>
      </c>
      <c r="D18" s="336">
        <v>19</v>
      </c>
      <c r="E18" s="337" t="s">
        <v>454</v>
      </c>
      <c r="F18" s="320" t="str">
        <f t="shared" si="0"/>
        <v>Christian NavarreteDefense Close</v>
      </c>
      <c r="G18" s="319">
        <f>COUNTIF(E$14:E18,E18)</f>
        <v>1</v>
      </c>
      <c r="H18" s="319">
        <f t="shared" si="1"/>
        <v>1</v>
      </c>
      <c r="I18" s="319">
        <f t="shared" si="2"/>
        <v>0</v>
      </c>
      <c r="J18" s="319">
        <f t="shared" si="3"/>
        <v>0</v>
      </c>
      <c r="K18" s="319">
        <f t="shared" si="4"/>
        <v>0</v>
      </c>
      <c r="M18" s="355" t="str">
        <f t="shared" si="5"/>
        <v>Harvard</v>
      </c>
      <c r="O18" s="319">
        <f>RANK($Y18,$Y$14:$Y$63)+COUNTIF(Y$14:Y18,Y18)-1</f>
        <v>5</v>
      </c>
      <c r="P18" s="351">
        <v>1492</v>
      </c>
      <c r="Q18" s="335" t="s">
        <v>466</v>
      </c>
      <c r="R18" s="336">
        <v>20</v>
      </c>
      <c r="S18" s="337" t="s">
        <v>479</v>
      </c>
      <c r="T18" s="320" t="str">
        <f t="shared" si="6"/>
        <v>Gabriel MarquezKosack</v>
      </c>
      <c r="U18" s="319">
        <f>COUNTIF(S$14:S18,S18)</f>
        <v>1</v>
      </c>
      <c r="V18" s="319">
        <f t="shared" si="7"/>
        <v>1</v>
      </c>
      <c r="W18" s="319">
        <f t="shared" si="8"/>
        <v>0</v>
      </c>
      <c r="X18" s="319">
        <f t="shared" si="9"/>
        <v>0</v>
      </c>
      <c r="Y18" s="319">
        <f t="shared" si="10"/>
        <v>0</v>
      </c>
      <c r="AA18" s="355" t="str">
        <f t="shared" si="11"/>
        <v>UCLA</v>
      </c>
      <c r="AI18" s="319"/>
      <c r="AJ18" s="319"/>
      <c r="AK18" s="319" t="str">
        <f t="shared" si="12"/>
        <v/>
      </c>
      <c r="AL18" s="319" t="str">
        <f t="shared" si="13"/>
        <v/>
      </c>
      <c r="AM18" s="319">
        <f t="shared" si="15"/>
        <v>0</v>
      </c>
      <c r="AO18" s="355">
        <f t="shared" si="14"/>
        <v>0</v>
      </c>
    </row>
    <row r="19" spans="1:41" x14ac:dyDescent="0.2">
      <c r="A19" s="347">
        <f>RANK($K19,$K$14:$K$63)+COUNTIF(K$14:K19,K19)-1</f>
        <v>6</v>
      </c>
      <c r="B19" s="354">
        <v>1001</v>
      </c>
      <c r="C19" s="335" t="s">
        <v>455</v>
      </c>
      <c r="D19" s="336">
        <v>30</v>
      </c>
      <c r="E19" s="337" t="s">
        <v>482</v>
      </c>
      <c r="F19" s="320" t="str">
        <f t="shared" si="0"/>
        <v>Sabrina GrandhiOverall Ranks Runner Up</v>
      </c>
      <c r="G19" s="319">
        <f>COUNTIF(E$14:E19,E19)</f>
        <v>1</v>
      </c>
      <c r="H19" s="319">
        <f t="shared" si="1"/>
        <v>1</v>
      </c>
      <c r="I19" s="319">
        <f t="shared" si="2"/>
        <v>0</v>
      </c>
      <c r="J19" s="319">
        <f t="shared" si="3"/>
        <v>0</v>
      </c>
      <c r="K19" s="319">
        <f t="shared" si="4"/>
        <v>0</v>
      </c>
      <c r="M19" s="355" t="str">
        <f t="shared" si="5"/>
        <v>Virginia</v>
      </c>
      <c r="O19" s="319">
        <f>RANK($Y19,$Y$14:$Y$63)+COUNTIF(Y$14:Y19,Y19)-1</f>
        <v>6</v>
      </c>
      <c r="P19" s="351">
        <v>1217</v>
      </c>
      <c r="Q19" s="335" t="s">
        <v>467</v>
      </c>
      <c r="R19" s="336">
        <v>10</v>
      </c>
      <c r="S19" s="337" t="s">
        <v>468</v>
      </c>
      <c r="T19" s="320" t="str">
        <f t="shared" si="6"/>
        <v>Karli ZubekMcClellan</v>
      </c>
      <c r="U19" s="319">
        <f>COUNTIF(S$14:S19,S19)</f>
        <v>1</v>
      </c>
      <c r="V19" s="319">
        <f t="shared" si="7"/>
        <v>1</v>
      </c>
      <c r="W19" s="319">
        <f t="shared" si="8"/>
        <v>0</v>
      </c>
      <c r="X19" s="319">
        <f t="shared" si="9"/>
        <v>0</v>
      </c>
      <c r="Y19" s="319">
        <f t="shared" si="10"/>
        <v>0</v>
      </c>
      <c r="AA19" s="355" t="str">
        <f t="shared" si="11"/>
        <v>Northwood</v>
      </c>
      <c r="AI19" s="319"/>
      <c r="AJ19" s="319"/>
      <c r="AK19" s="319" t="str">
        <f t="shared" si="12"/>
        <v/>
      </c>
      <c r="AL19" s="319" t="str">
        <f t="shared" si="13"/>
        <v/>
      </c>
      <c r="AM19" s="319">
        <f t="shared" si="15"/>
        <v>0</v>
      </c>
      <c r="AO19" s="355">
        <f t="shared" si="14"/>
        <v>0</v>
      </c>
    </row>
    <row r="20" spans="1:41" x14ac:dyDescent="0.2">
      <c r="A20" s="347">
        <f>RANK($K20,$K$14:$K$63)+COUNTIF(K$14:K20,K20)-1</f>
        <v>7</v>
      </c>
      <c r="B20" s="354">
        <v>1577</v>
      </c>
      <c r="C20" s="335" t="s">
        <v>456</v>
      </c>
      <c r="D20" s="336">
        <v>32</v>
      </c>
      <c r="E20" s="337" t="s">
        <v>457</v>
      </c>
      <c r="F20" s="320" t="str">
        <f t="shared" si="0"/>
        <v>Elizabeth BaysOverall Most Ranks</v>
      </c>
      <c r="G20" s="319">
        <f>COUNTIF(E$14:E20,E20)</f>
        <v>1</v>
      </c>
      <c r="H20" s="319">
        <f t="shared" si="1"/>
        <v>1</v>
      </c>
      <c r="I20" s="319">
        <f t="shared" si="2"/>
        <v>0</v>
      </c>
      <c r="J20" s="319">
        <f t="shared" si="3"/>
        <v>0</v>
      </c>
      <c r="K20" s="319">
        <f t="shared" si="4"/>
        <v>0</v>
      </c>
      <c r="M20" s="355" t="str">
        <f t="shared" si="5"/>
        <v>Yale</v>
      </c>
      <c r="O20" s="319">
        <f>RANK($Y20,$Y$14:$Y$63)+COUNTIF(Y$14:Y20,Y20)-1</f>
        <v>7</v>
      </c>
      <c r="P20" s="351">
        <v>1001</v>
      </c>
      <c r="Q20" s="335" t="s">
        <v>469</v>
      </c>
      <c r="R20" s="336">
        <v>13</v>
      </c>
      <c r="S20" s="337" t="s">
        <v>470</v>
      </c>
      <c r="T20" s="320" t="str">
        <f t="shared" si="6"/>
        <v>Natalia HeguaburoHollis</v>
      </c>
      <c r="U20" s="319">
        <f>COUNTIF(S$14:S20,S20)</f>
        <v>1</v>
      </c>
      <c r="V20" s="319">
        <f t="shared" si="7"/>
        <v>1</v>
      </c>
      <c r="W20" s="319">
        <f t="shared" si="8"/>
        <v>0</v>
      </c>
      <c r="X20" s="319">
        <f t="shared" si="9"/>
        <v>0</v>
      </c>
      <c r="Y20" s="319">
        <f t="shared" si="10"/>
        <v>0</v>
      </c>
      <c r="AA20" s="355" t="str">
        <f t="shared" si="11"/>
        <v>Virginia</v>
      </c>
      <c r="AI20" s="319"/>
      <c r="AJ20" s="319"/>
      <c r="AK20" s="319" t="str">
        <f t="shared" si="12"/>
        <v/>
      </c>
      <c r="AL20" s="319" t="str">
        <f t="shared" si="13"/>
        <v/>
      </c>
      <c r="AM20" s="319">
        <f t="shared" si="15"/>
        <v>0</v>
      </c>
      <c r="AO20" s="355">
        <f t="shared" si="14"/>
        <v>0</v>
      </c>
    </row>
    <row r="21" spans="1:41" x14ac:dyDescent="0.2">
      <c r="A21" s="347">
        <f>RANK($K21,$K$14:$K$63)+COUNTIF(K$14:K21,K21)-1</f>
        <v>8</v>
      </c>
      <c r="B21" s="354"/>
      <c r="C21" s="335"/>
      <c r="D21" s="336"/>
      <c r="E21" s="337"/>
      <c r="F21" s="320" t="str">
        <f t="shared" si="0"/>
        <v/>
      </c>
      <c r="G21" s="319">
        <f>COUNTIF(E$14:E21,E21)</f>
        <v>0</v>
      </c>
      <c r="H21" s="319">
        <f t="shared" si="1"/>
        <v>1</v>
      </c>
      <c r="I21" s="319" t="str">
        <f t="shared" si="2"/>
        <v/>
      </c>
      <c r="J21" s="319" t="str">
        <f t="shared" si="3"/>
        <v/>
      </c>
      <c r="K21" s="319">
        <f t="shared" si="4"/>
        <v>0</v>
      </c>
      <c r="M21" s="355">
        <f t="shared" si="5"/>
        <v>0</v>
      </c>
      <c r="O21" s="319">
        <f>RANK($Y21,$Y$14:$Y$63)+COUNTIF(Y$14:Y21,Y21)-1</f>
        <v>8</v>
      </c>
      <c r="P21" s="351">
        <v>1217</v>
      </c>
      <c r="Q21" s="335" t="s">
        <v>471</v>
      </c>
      <c r="R21" s="336">
        <v>17</v>
      </c>
      <c r="S21" s="337" t="s">
        <v>472</v>
      </c>
      <c r="T21" s="320" t="str">
        <f t="shared" si="6"/>
        <v>Simeon LawrenceCooper</v>
      </c>
      <c r="U21" s="319">
        <f>COUNTIF(S$14:S21,S21)</f>
        <v>1</v>
      </c>
      <c r="V21" s="319">
        <f t="shared" si="7"/>
        <v>1</v>
      </c>
      <c r="W21" s="319">
        <f t="shared" si="8"/>
        <v>0</v>
      </c>
      <c r="X21" s="319">
        <f t="shared" si="9"/>
        <v>0</v>
      </c>
      <c r="Y21" s="319">
        <f t="shared" si="10"/>
        <v>0</v>
      </c>
      <c r="AA21" s="355" t="str">
        <f t="shared" si="11"/>
        <v>Northwood</v>
      </c>
      <c r="AI21" s="319"/>
      <c r="AJ21" s="319"/>
      <c r="AK21" s="319" t="str">
        <f t="shared" si="12"/>
        <v/>
      </c>
      <c r="AL21" s="319" t="str">
        <f t="shared" si="13"/>
        <v/>
      </c>
      <c r="AM21" s="319">
        <f t="shared" si="15"/>
        <v>0</v>
      </c>
      <c r="AO21" s="355">
        <f t="shared" si="14"/>
        <v>0</v>
      </c>
    </row>
    <row r="22" spans="1:41" x14ac:dyDescent="0.2">
      <c r="A22" s="347">
        <f>RANK($K22,$K$14:$K$63)+COUNTIF(K$14:K22,K22)-1</f>
        <v>9</v>
      </c>
      <c r="B22" s="354"/>
      <c r="C22" s="335"/>
      <c r="D22" s="336"/>
      <c r="E22" s="337"/>
      <c r="F22" s="320" t="str">
        <f t="shared" si="0"/>
        <v/>
      </c>
      <c r="G22" s="319">
        <f>COUNTIF(E$14:E22,E22)</f>
        <v>0</v>
      </c>
      <c r="H22" s="319">
        <f t="shared" si="1"/>
        <v>1</v>
      </c>
      <c r="I22" s="319" t="str">
        <f t="shared" si="2"/>
        <v/>
      </c>
      <c r="J22" s="319" t="str">
        <f t="shared" si="3"/>
        <v/>
      </c>
      <c r="K22" s="319">
        <f t="shared" si="4"/>
        <v>0</v>
      </c>
      <c r="M22" s="355">
        <f t="shared" si="5"/>
        <v>0</v>
      </c>
      <c r="O22" s="319">
        <f>RANK($Y22,$Y$14:$Y$63)+COUNTIF(Y$14:Y22,Y22)-1</f>
        <v>9</v>
      </c>
      <c r="P22" s="351">
        <v>1616</v>
      </c>
      <c r="Q22" s="335" t="s">
        <v>473</v>
      </c>
      <c r="R22" s="336">
        <v>18</v>
      </c>
      <c r="S22" s="337" t="s">
        <v>474</v>
      </c>
      <c r="T22" s="320" t="str">
        <f t="shared" si="6"/>
        <v>Peter BoundMcCoy</v>
      </c>
      <c r="U22" s="319">
        <f>COUNTIF(S$14:S22,S22)</f>
        <v>1</v>
      </c>
      <c r="V22" s="319">
        <f t="shared" si="7"/>
        <v>1</v>
      </c>
      <c r="W22" s="319">
        <f t="shared" si="8"/>
        <v>0</v>
      </c>
      <c r="X22" s="319">
        <f t="shared" si="9"/>
        <v>0</v>
      </c>
      <c r="Y22" s="319">
        <f t="shared" si="10"/>
        <v>0</v>
      </c>
      <c r="AA22" s="355" t="str">
        <f t="shared" si="11"/>
        <v>Chicago</v>
      </c>
      <c r="AI22" s="319"/>
      <c r="AJ22" s="319"/>
      <c r="AK22" s="319" t="str">
        <f t="shared" si="12"/>
        <v/>
      </c>
      <c r="AL22" s="319" t="str">
        <f t="shared" si="13"/>
        <v/>
      </c>
      <c r="AM22" s="319">
        <f t="shared" si="15"/>
        <v>0</v>
      </c>
      <c r="AO22" s="355">
        <f t="shared" si="14"/>
        <v>0</v>
      </c>
    </row>
    <row r="23" spans="1:41" x14ac:dyDescent="0.2">
      <c r="A23" s="347">
        <f>RANK($K23,$K$14:$K$63)+COUNTIF(K$14:K23,K23)-1</f>
        <v>10</v>
      </c>
      <c r="B23" s="354"/>
      <c r="C23" s="335"/>
      <c r="D23" s="336"/>
      <c r="E23" s="337"/>
      <c r="F23" s="320" t="str">
        <f t="shared" si="0"/>
        <v/>
      </c>
      <c r="G23" s="319">
        <f>COUNTIF(E$14:E23,E23)</f>
        <v>0</v>
      </c>
      <c r="H23" s="319">
        <f t="shared" si="1"/>
        <v>1</v>
      </c>
      <c r="I23" s="319" t="str">
        <f t="shared" si="2"/>
        <v/>
      </c>
      <c r="J23" s="319" t="str">
        <f t="shared" si="3"/>
        <v/>
      </c>
      <c r="K23" s="319">
        <f t="shared" si="4"/>
        <v>0</v>
      </c>
      <c r="M23" s="355">
        <f t="shared" si="5"/>
        <v>0</v>
      </c>
      <c r="O23" s="319">
        <f>RANK($Y23,$Y$14:$Y$63)+COUNTIF(Y$14:Y23,Y23)-1</f>
        <v>10</v>
      </c>
      <c r="P23" s="351">
        <v>1410</v>
      </c>
      <c r="Q23" s="335" t="s">
        <v>475</v>
      </c>
      <c r="R23" s="336">
        <v>17</v>
      </c>
      <c r="S23" s="337" t="s">
        <v>476</v>
      </c>
      <c r="T23" s="320" t="str">
        <f t="shared" si="6"/>
        <v>Brooke BowermanGrace</v>
      </c>
      <c r="U23" s="319">
        <f>COUNTIF(S$14:S23,S23)</f>
        <v>1</v>
      </c>
      <c r="V23" s="319">
        <f t="shared" si="7"/>
        <v>1</v>
      </c>
      <c r="W23" s="319">
        <f t="shared" si="8"/>
        <v>0</v>
      </c>
      <c r="X23" s="319">
        <f t="shared" si="9"/>
        <v>0</v>
      </c>
      <c r="Y23" s="319">
        <f t="shared" si="10"/>
        <v>0</v>
      </c>
      <c r="AA23" s="355" t="str">
        <f t="shared" si="11"/>
        <v>Ohio State</v>
      </c>
      <c r="AI23" s="319"/>
      <c r="AJ23" s="319"/>
      <c r="AK23" s="319" t="str">
        <f t="shared" si="12"/>
        <v/>
      </c>
      <c r="AL23" s="319" t="str">
        <f t="shared" si="13"/>
        <v/>
      </c>
      <c r="AM23" s="319">
        <f t="shared" si="15"/>
        <v>0</v>
      </c>
      <c r="AO23" s="355">
        <f t="shared" si="14"/>
        <v>0</v>
      </c>
    </row>
    <row r="24" spans="1:41" x14ac:dyDescent="0.2">
      <c r="A24" s="347">
        <f>RANK($K24,$K$14:$K$63)+COUNTIF(K$14:K24,K24)-1</f>
        <v>11</v>
      </c>
      <c r="B24" s="354"/>
      <c r="C24" s="335"/>
      <c r="D24" s="336"/>
      <c r="E24" s="337"/>
      <c r="F24" s="320" t="str">
        <f t="shared" si="0"/>
        <v/>
      </c>
      <c r="G24" s="319">
        <f>COUNTIF(E$14:E24,E24)</f>
        <v>0</v>
      </c>
      <c r="H24" s="319">
        <f t="shared" si="1"/>
        <v>1</v>
      </c>
      <c r="I24" s="319" t="str">
        <f t="shared" si="2"/>
        <v/>
      </c>
      <c r="J24" s="319" t="str">
        <f t="shared" si="3"/>
        <v/>
      </c>
      <c r="K24" s="319">
        <f t="shared" si="4"/>
        <v>0</v>
      </c>
      <c r="M24" s="355">
        <f t="shared" si="5"/>
        <v>0</v>
      </c>
      <c r="O24" s="319">
        <f>RANK($Y24,$Y$14:$Y$63)+COUNTIF(Y$14:Y24,Y24)-1</f>
        <v>11</v>
      </c>
      <c r="P24" s="351">
        <v>1506</v>
      </c>
      <c r="Q24" s="335" t="s">
        <v>478</v>
      </c>
      <c r="R24" s="336">
        <v>17</v>
      </c>
      <c r="S24" s="337" t="s">
        <v>477</v>
      </c>
      <c r="T24" s="320" t="str">
        <f t="shared" si="6"/>
        <v>Papa Yaw SencheryCombo (Hollis/McClellan)</v>
      </c>
      <c r="U24" s="319">
        <f>COUNTIF(S$14:S24,S24)</f>
        <v>1</v>
      </c>
      <c r="V24" s="319">
        <f t="shared" si="7"/>
        <v>1</v>
      </c>
      <c r="W24" s="319">
        <f t="shared" si="8"/>
        <v>0</v>
      </c>
      <c r="X24" s="319">
        <f t="shared" si="9"/>
        <v>0</v>
      </c>
      <c r="Y24" s="319">
        <f t="shared" si="10"/>
        <v>0</v>
      </c>
      <c r="AA24" s="355" t="str">
        <f t="shared" si="11"/>
        <v>New York</v>
      </c>
      <c r="AI24" s="319"/>
      <c r="AJ24" s="319"/>
      <c r="AK24" s="319" t="str">
        <f t="shared" si="12"/>
        <v/>
      </c>
      <c r="AL24" s="319" t="str">
        <f t="shared" si="13"/>
        <v/>
      </c>
      <c r="AM24" s="319">
        <f t="shared" si="15"/>
        <v>0</v>
      </c>
      <c r="AO24" s="355">
        <f t="shared" si="14"/>
        <v>0</v>
      </c>
    </row>
    <row r="25" spans="1:41" x14ac:dyDescent="0.2">
      <c r="A25" s="347">
        <f>RANK($K25,$K$14:$K$63)+COUNTIF(K$14:K25,K25)-1</f>
        <v>12</v>
      </c>
      <c r="B25" s="354"/>
      <c r="C25" s="335"/>
      <c r="D25" s="336"/>
      <c r="E25" s="337"/>
      <c r="F25" s="320" t="str">
        <f t="shared" si="0"/>
        <v/>
      </c>
      <c r="G25" s="319">
        <f>COUNTIF(E$14:E25,E25)</f>
        <v>0</v>
      </c>
      <c r="H25" s="319">
        <f t="shared" si="1"/>
        <v>1</v>
      </c>
      <c r="I25" s="319" t="str">
        <f t="shared" si="2"/>
        <v/>
      </c>
      <c r="J25" s="319" t="str">
        <f t="shared" si="3"/>
        <v/>
      </c>
      <c r="K25" s="319">
        <f t="shared" si="4"/>
        <v>0</v>
      </c>
      <c r="M25" s="355">
        <f t="shared" si="5"/>
        <v>0</v>
      </c>
      <c r="O25" s="319">
        <f>RANK($Y25,$Y$14:$Y$63)+COUNTIF(Y$14:Y25,Y25)-1</f>
        <v>12</v>
      </c>
      <c r="P25" s="351"/>
      <c r="Q25" s="335"/>
      <c r="R25" s="336"/>
      <c r="S25" s="337"/>
      <c r="T25" s="320" t="str">
        <f t="shared" si="6"/>
        <v/>
      </c>
      <c r="U25" s="319">
        <f>COUNTIF(S$14:S25,S25)</f>
        <v>0</v>
      </c>
      <c r="V25" s="319">
        <f t="shared" si="7"/>
        <v>1</v>
      </c>
      <c r="W25" s="319" t="str">
        <f t="shared" si="8"/>
        <v/>
      </c>
      <c r="X25" s="319" t="str">
        <f t="shared" si="9"/>
        <v/>
      </c>
      <c r="Y25" s="319">
        <f t="shared" si="10"/>
        <v>0</v>
      </c>
      <c r="AA25" s="355">
        <f t="shared" si="11"/>
        <v>0</v>
      </c>
      <c r="AI25" s="319"/>
      <c r="AJ25" s="319"/>
      <c r="AK25" s="319" t="str">
        <f t="shared" si="12"/>
        <v/>
      </c>
      <c r="AL25" s="319" t="str">
        <f t="shared" si="13"/>
        <v/>
      </c>
      <c r="AM25" s="319">
        <f t="shared" si="15"/>
        <v>0</v>
      </c>
      <c r="AO25" s="355">
        <f t="shared" si="14"/>
        <v>0</v>
      </c>
    </row>
    <row r="26" spans="1:41" x14ac:dyDescent="0.2">
      <c r="A26" s="347">
        <f>RANK($K26,$K$14:$K$63)+COUNTIF(K$14:K26,K26)-1</f>
        <v>13</v>
      </c>
      <c r="B26" s="354"/>
      <c r="C26" s="335"/>
      <c r="D26" s="336"/>
      <c r="E26" s="337"/>
      <c r="F26" s="320" t="str">
        <f t="shared" si="0"/>
        <v/>
      </c>
      <c r="G26" s="319">
        <f>COUNTIF(E$14:E26,E26)</f>
        <v>0</v>
      </c>
      <c r="H26" s="319">
        <f t="shared" si="1"/>
        <v>1</v>
      </c>
      <c r="I26" s="319" t="str">
        <f t="shared" si="2"/>
        <v/>
      </c>
      <c r="J26" s="319" t="str">
        <f t="shared" si="3"/>
        <v/>
      </c>
      <c r="K26" s="319">
        <f t="shared" si="4"/>
        <v>0</v>
      </c>
      <c r="M26" s="355">
        <f t="shared" si="5"/>
        <v>0</v>
      </c>
      <c r="O26" s="319">
        <f>RANK($Y26,$Y$14:$Y$63)+COUNTIF(Y$14:Y26,Y26)-1</f>
        <v>13</v>
      </c>
      <c r="P26" s="351"/>
      <c r="Q26" s="335"/>
      <c r="R26" s="336"/>
      <c r="S26" s="337"/>
      <c r="T26" s="320" t="str">
        <f t="shared" si="6"/>
        <v/>
      </c>
      <c r="U26" s="319">
        <f>COUNTIF(S$14:S26,S26)</f>
        <v>0</v>
      </c>
      <c r="V26" s="319">
        <f t="shared" si="7"/>
        <v>1</v>
      </c>
      <c r="W26" s="319" t="str">
        <f t="shared" si="8"/>
        <v/>
      </c>
      <c r="X26" s="319" t="str">
        <f t="shared" si="9"/>
        <v/>
      </c>
      <c r="Y26" s="319">
        <f t="shared" si="10"/>
        <v>0</v>
      </c>
      <c r="AA26" s="355">
        <f t="shared" si="11"/>
        <v>0</v>
      </c>
      <c r="AI26" s="319"/>
      <c r="AJ26" s="319"/>
      <c r="AK26" s="319" t="str">
        <f t="shared" si="12"/>
        <v/>
      </c>
      <c r="AL26" s="319" t="str">
        <f t="shared" si="13"/>
        <v/>
      </c>
      <c r="AM26" s="319">
        <f t="shared" si="15"/>
        <v>0</v>
      </c>
      <c r="AO26" s="355">
        <f t="shared" si="14"/>
        <v>0</v>
      </c>
    </row>
    <row r="27" spans="1:41" x14ac:dyDescent="0.2">
      <c r="A27" s="347">
        <f>RANK($K27,$K$14:$K$63)+COUNTIF(K$14:K27,K27)-1</f>
        <v>14</v>
      </c>
      <c r="B27" s="354"/>
      <c r="C27" s="335"/>
      <c r="D27" s="336"/>
      <c r="E27" s="337"/>
      <c r="F27" s="320" t="str">
        <f t="shared" si="0"/>
        <v/>
      </c>
      <c r="G27" s="319">
        <f>COUNTIF(E$14:E27,E27)</f>
        <v>0</v>
      </c>
      <c r="H27" s="319">
        <f t="shared" si="1"/>
        <v>1</v>
      </c>
      <c r="I27" s="319" t="str">
        <f t="shared" si="2"/>
        <v/>
      </c>
      <c r="J27" s="319" t="str">
        <f t="shared" si="3"/>
        <v/>
      </c>
      <c r="K27" s="319">
        <f t="shared" si="4"/>
        <v>0</v>
      </c>
      <c r="M27" s="355">
        <f t="shared" si="5"/>
        <v>0</v>
      </c>
      <c r="O27" s="319">
        <f>RANK($Y27,$Y$14:$Y$63)+COUNTIF(Y$14:Y27,Y27)-1</f>
        <v>14</v>
      </c>
      <c r="P27" s="351"/>
      <c r="Q27" s="335"/>
      <c r="R27" s="336"/>
      <c r="S27" s="337"/>
      <c r="T27" s="320" t="str">
        <f t="shared" si="6"/>
        <v/>
      </c>
      <c r="U27" s="319">
        <f>COUNTIF(S$14:S27,S27)</f>
        <v>0</v>
      </c>
      <c r="V27" s="319">
        <f t="shared" si="7"/>
        <v>1</v>
      </c>
      <c r="W27" s="319" t="str">
        <f t="shared" si="8"/>
        <v/>
      </c>
      <c r="X27" s="319" t="str">
        <f t="shared" si="9"/>
        <v/>
      </c>
      <c r="Y27" s="319">
        <f t="shared" si="10"/>
        <v>0</v>
      </c>
      <c r="AA27" s="355"/>
    </row>
    <row r="28" spans="1:41" x14ac:dyDescent="0.2">
      <c r="A28" s="347">
        <f>RANK($K28,$K$14:$K$63)+COUNTIF(K$14:K28,K28)-1</f>
        <v>15</v>
      </c>
      <c r="B28" s="354"/>
      <c r="C28" s="335"/>
      <c r="D28" s="336"/>
      <c r="E28" s="337"/>
      <c r="F28" s="320" t="str">
        <f t="shared" si="0"/>
        <v/>
      </c>
      <c r="G28" s="319">
        <f>COUNTIF(E$14:E28,E28)</f>
        <v>0</v>
      </c>
      <c r="H28" s="319">
        <f t="shared" si="1"/>
        <v>1</v>
      </c>
      <c r="I28" s="319" t="str">
        <f t="shared" si="2"/>
        <v/>
      </c>
      <c r="J28" s="319" t="str">
        <f t="shared" si="3"/>
        <v/>
      </c>
      <c r="K28" s="319">
        <f t="shared" si="4"/>
        <v>0</v>
      </c>
      <c r="M28" s="355">
        <f t="shared" si="5"/>
        <v>0</v>
      </c>
      <c r="O28" s="319">
        <f>RANK($Y28,$Y$14:$Y$63)+COUNTIF(Y$14:Y28,Y28)-1</f>
        <v>15</v>
      </c>
      <c r="P28" s="351"/>
      <c r="Q28" s="335"/>
      <c r="R28" s="336"/>
      <c r="S28" s="337"/>
      <c r="T28" s="320" t="str">
        <f t="shared" si="6"/>
        <v/>
      </c>
      <c r="U28" s="319">
        <f>COUNTIF(S$14:S28,S28)</f>
        <v>0</v>
      </c>
      <c r="V28" s="319">
        <f t="shared" si="7"/>
        <v>1</v>
      </c>
      <c r="W28" s="319" t="str">
        <f t="shared" si="8"/>
        <v/>
      </c>
      <c r="X28" s="319" t="str">
        <f t="shared" si="9"/>
        <v/>
      </c>
      <c r="Y28" s="319">
        <f t="shared" si="10"/>
        <v>0</v>
      </c>
      <c r="AA28" s="355"/>
    </row>
    <row r="29" spans="1:41" x14ac:dyDescent="0.2">
      <c r="A29" s="347">
        <f>RANK($K29,$K$14:$K$63)+COUNTIF(K$14:K29,K29)-1</f>
        <v>16</v>
      </c>
      <c r="B29" s="354"/>
      <c r="C29" s="335"/>
      <c r="D29" s="336"/>
      <c r="E29" s="337"/>
      <c r="F29" s="320" t="str">
        <f t="shared" si="0"/>
        <v/>
      </c>
      <c r="G29" s="319">
        <f>COUNTIF(E$14:E29,E29)</f>
        <v>0</v>
      </c>
      <c r="H29" s="319">
        <f t="shared" si="1"/>
        <v>1</v>
      </c>
      <c r="I29" s="319" t="str">
        <f t="shared" si="2"/>
        <v/>
      </c>
      <c r="J29" s="319" t="str">
        <f t="shared" si="3"/>
        <v/>
      </c>
      <c r="K29" s="319">
        <f t="shared" si="4"/>
        <v>0</v>
      </c>
      <c r="M29" s="355">
        <f t="shared" si="5"/>
        <v>0</v>
      </c>
      <c r="O29" s="319">
        <f>RANK($Y29,$Y$14:$Y$63)+COUNTIF(Y$14:Y29,Y29)-1</f>
        <v>16</v>
      </c>
      <c r="P29" s="351"/>
      <c r="Q29" s="335"/>
      <c r="R29" s="336"/>
      <c r="S29" s="337"/>
      <c r="T29" s="320" t="str">
        <f t="shared" ref="T29:T63" si="16">S29&amp;Q29</f>
        <v/>
      </c>
      <c r="U29" s="319">
        <f>COUNTIF(S$14:S29,S29)</f>
        <v>0</v>
      </c>
      <c r="V29" s="319">
        <f t="shared" ref="V29:V63" si="17">RANK(Y29,$Y$14:$Y$63,0)</f>
        <v>1</v>
      </c>
      <c r="W29" s="319" t="str">
        <f t="shared" ref="W29:W63" si="18">IF(U29=1,SUMIF($T$14:$T$63,S29&amp;"P",$R$14:$R$63),"")</f>
        <v/>
      </c>
      <c r="X29" s="319" t="str">
        <f t="shared" ref="X29:X63" si="19">IF(U29=1,SUMIF($T$14:$T$63,S29&amp;"D",$R$14:$R$63),"")</f>
        <v/>
      </c>
      <c r="Y29" s="319">
        <f t="shared" ref="Y29:Y63" si="20">MAX(W29:X29)</f>
        <v>0</v>
      </c>
      <c r="AA29" s="355">
        <f t="shared" si="11"/>
        <v>0</v>
      </c>
    </row>
    <row r="30" spans="1:41" x14ac:dyDescent="0.2">
      <c r="A30" s="347">
        <f>RANK($K30,$K$14:$K$63)+COUNTIF(K$14:K30,K30)-1</f>
        <v>17</v>
      </c>
      <c r="B30" s="354"/>
      <c r="C30" s="335"/>
      <c r="D30" s="336"/>
      <c r="E30" s="337"/>
      <c r="F30" s="320" t="str">
        <f t="shared" ref="F30:F34" si="21">E30&amp;C30</f>
        <v/>
      </c>
      <c r="G30" s="319">
        <f>COUNTIF(E$14:E30,E30)</f>
        <v>0</v>
      </c>
      <c r="H30" s="319">
        <f t="shared" ref="H30:H34" si="22">RANK(K30,$K$14:$K$63,0)</f>
        <v>1</v>
      </c>
      <c r="I30" s="319" t="str">
        <f t="shared" ref="I30:I34" si="23">IF(G30=1,SUMIF($F$14:$F$63,E30&amp;"P",$D$14:$D$63),"")</f>
        <v/>
      </c>
      <c r="J30" s="319" t="str">
        <f t="shared" ref="J30:J34" si="24">IF(G30=1,SUMIF($F$14:$F$63,E30&amp;"D",$D$14:$D$63),"")</f>
        <v/>
      </c>
      <c r="K30" s="319">
        <f t="shared" ref="K30:K34" si="25">MAX(I30:J30)</f>
        <v>0</v>
      </c>
      <c r="M30" s="355">
        <f t="shared" si="5"/>
        <v>0</v>
      </c>
      <c r="O30" s="319">
        <f>RANK($Y30,$Y$14:$Y$63)+COUNTIF(Y$14:Y30,Y30)-1</f>
        <v>17</v>
      </c>
      <c r="P30" s="351"/>
      <c r="Q30" s="335"/>
      <c r="R30" s="336"/>
      <c r="S30" s="337"/>
      <c r="T30" s="320" t="str">
        <f t="shared" si="16"/>
        <v/>
      </c>
      <c r="U30" s="319">
        <f>COUNTIF(S$14:S30,S30)</f>
        <v>0</v>
      </c>
      <c r="V30" s="319">
        <f t="shared" si="17"/>
        <v>1</v>
      </c>
      <c r="W30" s="319" t="str">
        <f t="shared" si="18"/>
        <v/>
      </c>
      <c r="X30" s="319" t="str">
        <f t="shared" si="19"/>
        <v/>
      </c>
      <c r="Y30" s="319">
        <f t="shared" si="20"/>
        <v>0</v>
      </c>
      <c r="AA30" s="355">
        <f t="shared" si="11"/>
        <v>0</v>
      </c>
    </row>
    <row r="31" spans="1:41" x14ac:dyDescent="0.2">
      <c r="A31" s="347">
        <f>RANK($K31,$K$14:$K$63)+COUNTIF(K$14:K31,K31)-1</f>
        <v>18</v>
      </c>
      <c r="B31" s="354"/>
      <c r="C31" s="335"/>
      <c r="D31" s="336"/>
      <c r="E31" s="337"/>
      <c r="F31" s="320" t="str">
        <f t="shared" si="21"/>
        <v/>
      </c>
      <c r="G31" s="319">
        <f>COUNTIF(E$14:E31,E31)</f>
        <v>0</v>
      </c>
      <c r="H31" s="319">
        <f t="shared" si="22"/>
        <v>1</v>
      </c>
      <c r="I31" s="319" t="str">
        <f t="shared" si="23"/>
        <v/>
      </c>
      <c r="J31" s="319" t="str">
        <f t="shared" si="24"/>
        <v/>
      </c>
      <c r="K31" s="319">
        <f t="shared" si="25"/>
        <v>0</v>
      </c>
      <c r="M31" s="355">
        <f t="shared" si="5"/>
        <v>0</v>
      </c>
      <c r="O31" s="319">
        <f>RANK($Y31,$Y$14:$Y$63)+COUNTIF(Y$14:Y31,Y31)-1</f>
        <v>18</v>
      </c>
      <c r="P31" s="351"/>
      <c r="Q31" s="335"/>
      <c r="R31" s="336"/>
      <c r="S31" s="337"/>
      <c r="T31" s="320" t="str">
        <f t="shared" si="16"/>
        <v/>
      </c>
      <c r="U31" s="319">
        <f>COUNTIF(S$14:S31,S31)</f>
        <v>0</v>
      </c>
      <c r="V31" s="319">
        <f t="shared" si="17"/>
        <v>1</v>
      </c>
      <c r="W31" s="319" t="str">
        <f t="shared" si="18"/>
        <v/>
      </c>
      <c r="X31" s="319" t="str">
        <f t="shared" si="19"/>
        <v/>
      </c>
      <c r="Y31" s="319">
        <f t="shared" si="20"/>
        <v>0</v>
      </c>
      <c r="AA31" s="355">
        <f t="shared" si="11"/>
        <v>0</v>
      </c>
    </row>
    <row r="32" spans="1:41" x14ac:dyDescent="0.2">
      <c r="A32" s="347">
        <f>RANK($K32,$K$14:$K$63)+COUNTIF(K$14:K32,K32)-1</f>
        <v>19</v>
      </c>
      <c r="B32" s="354"/>
      <c r="C32" s="335"/>
      <c r="D32" s="336"/>
      <c r="E32" s="337"/>
      <c r="F32" s="320" t="str">
        <f t="shared" si="21"/>
        <v/>
      </c>
      <c r="G32" s="319">
        <f>COUNTIF(E$14:E32,E32)</f>
        <v>0</v>
      </c>
      <c r="H32" s="319">
        <f t="shared" si="22"/>
        <v>1</v>
      </c>
      <c r="I32" s="319" t="str">
        <f t="shared" si="23"/>
        <v/>
      </c>
      <c r="J32" s="319" t="str">
        <f t="shared" si="24"/>
        <v/>
      </c>
      <c r="K32" s="319">
        <f t="shared" si="25"/>
        <v>0</v>
      </c>
      <c r="M32" s="355">
        <f t="shared" si="5"/>
        <v>0</v>
      </c>
      <c r="O32" s="319">
        <f>RANK($Y32,$Y$14:$Y$63)+COUNTIF(Y$14:Y32,Y32)-1</f>
        <v>19</v>
      </c>
      <c r="P32" s="351"/>
      <c r="Q32" s="335"/>
      <c r="R32" s="336"/>
      <c r="S32" s="337"/>
      <c r="T32" s="320" t="str">
        <f t="shared" si="16"/>
        <v/>
      </c>
      <c r="U32" s="319">
        <f>COUNTIF(S$14:S32,S32)</f>
        <v>0</v>
      </c>
      <c r="V32" s="319">
        <f t="shared" si="17"/>
        <v>1</v>
      </c>
      <c r="W32" s="319" t="str">
        <f t="shared" si="18"/>
        <v/>
      </c>
      <c r="X32" s="319" t="str">
        <f t="shared" si="19"/>
        <v/>
      </c>
      <c r="Y32" s="319">
        <f t="shared" si="20"/>
        <v>0</v>
      </c>
      <c r="AA32" s="355">
        <f t="shared" si="11"/>
        <v>0</v>
      </c>
    </row>
    <row r="33" spans="1:27" x14ac:dyDescent="0.2">
      <c r="A33" s="347">
        <f>RANK($K33,$K$14:$K$63)+COUNTIF(K$14:K33,K33)-1</f>
        <v>20</v>
      </c>
      <c r="B33" s="354"/>
      <c r="C33" s="335"/>
      <c r="D33" s="336"/>
      <c r="E33" s="337"/>
      <c r="F33" s="320" t="str">
        <f t="shared" si="21"/>
        <v/>
      </c>
      <c r="G33" s="319">
        <f>COUNTIF(E$14:E33,E33)</f>
        <v>0</v>
      </c>
      <c r="H33" s="319">
        <f t="shared" si="22"/>
        <v>1</v>
      </c>
      <c r="I33" s="319" t="str">
        <f t="shared" si="23"/>
        <v/>
      </c>
      <c r="J33" s="319" t="str">
        <f t="shared" si="24"/>
        <v/>
      </c>
      <c r="K33" s="319">
        <f t="shared" si="25"/>
        <v>0</v>
      </c>
      <c r="M33" s="355">
        <f t="shared" si="5"/>
        <v>0</v>
      </c>
      <c r="O33" s="319">
        <f>RANK($Y33,$Y$14:$Y$63)+COUNTIF(Y$14:Y33,Y33)-1</f>
        <v>20</v>
      </c>
      <c r="P33" s="351"/>
      <c r="Q33" s="335"/>
      <c r="R33" s="336"/>
      <c r="S33" s="337"/>
      <c r="T33" s="320" t="str">
        <f t="shared" si="16"/>
        <v/>
      </c>
      <c r="U33" s="319">
        <f>COUNTIF(S$14:S33,S33)</f>
        <v>0</v>
      </c>
      <c r="V33" s="319">
        <f t="shared" si="17"/>
        <v>1</v>
      </c>
      <c r="W33" s="319" t="str">
        <f t="shared" si="18"/>
        <v/>
      </c>
      <c r="X33" s="319" t="str">
        <f t="shared" si="19"/>
        <v/>
      </c>
      <c r="Y33" s="319">
        <f t="shared" si="20"/>
        <v>0</v>
      </c>
      <c r="AA33" s="355">
        <f t="shared" si="11"/>
        <v>0</v>
      </c>
    </row>
    <row r="34" spans="1:27" x14ac:dyDescent="0.2">
      <c r="A34" s="347">
        <f>RANK($K34,$K$14:$K$63)+COUNTIF(K$14:K34,K34)-1</f>
        <v>21</v>
      </c>
      <c r="B34" s="354"/>
      <c r="C34" s="335"/>
      <c r="D34" s="336"/>
      <c r="E34" s="337"/>
      <c r="F34" s="320" t="str">
        <f t="shared" si="21"/>
        <v/>
      </c>
      <c r="G34" s="319">
        <f>COUNTIF(E$14:E34,E34)</f>
        <v>0</v>
      </c>
      <c r="H34" s="319">
        <f t="shared" si="22"/>
        <v>1</v>
      </c>
      <c r="I34" s="319" t="str">
        <f t="shared" si="23"/>
        <v/>
      </c>
      <c r="J34" s="319" t="str">
        <f t="shared" si="24"/>
        <v/>
      </c>
      <c r="K34" s="319">
        <f t="shared" si="25"/>
        <v>0</v>
      </c>
      <c r="M34" s="355">
        <f t="shared" si="5"/>
        <v>0</v>
      </c>
      <c r="O34" s="319">
        <f>RANK($Y34,$Y$14:$Y$63)+COUNTIF(Y$14:Y34,Y34)-1</f>
        <v>21</v>
      </c>
      <c r="P34" s="351"/>
      <c r="Q34" s="335"/>
      <c r="R34" s="336"/>
      <c r="S34" s="337"/>
      <c r="T34" s="320" t="str">
        <f t="shared" si="16"/>
        <v/>
      </c>
      <c r="U34" s="319">
        <f>COUNTIF(S$14:S34,S34)</f>
        <v>0</v>
      </c>
      <c r="V34" s="319">
        <f t="shared" si="17"/>
        <v>1</v>
      </c>
      <c r="W34" s="319" t="str">
        <f t="shared" si="18"/>
        <v/>
      </c>
      <c r="X34" s="319" t="str">
        <f t="shared" si="19"/>
        <v/>
      </c>
      <c r="Y34" s="319">
        <f t="shared" si="20"/>
        <v>0</v>
      </c>
      <c r="AA34" s="355">
        <f t="shared" si="11"/>
        <v>0</v>
      </c>
    </row>
    <row r="35" spans="1:27" x14ac:dyDescent="0.2">
      <c r="A35" s="347">
        <f>RANK($K35,$K$14:$K$63)+COUNTIF(K$14:K35,K35)-1</f>
        <v>22</v>
      </c>
      <c r="B35" s="354"/>
      <c r="C35" s="335"/>
      <c r="D35" s="336"/>
      <c r="E35" s="337"/>
      <c r="F35" s="320" t="str">
        <f t="shared" ref="F35:F63" si="26">E35&amp;C35</f>
        <v/>
      </c>
      <c r="G35" s="319">
        <f>COUNTIF(E$14:E35,E35)</f>
        <v>0</v>
      </c>
      <c r="H35" s="319">
        <f t="shared" ref="H35:H63" si="27">RANK(K35,$K$14:$K$63,0)</f>
        <v>1</v>
      </c>
      <c r="I35" s="319" t="str">
        <f t="shared" ref="I35:I63" si="28">IF(G35=1,SUMIF($F$14:$F$63,E35&amp;"P",$D$14:$D$63),"")</f>
        <v/>
      </c>
      <c r="J35" s="319" t="str">
        <f t="shared" ref="J35:J63" si="29">IF(G35=1,SUMIF($F$14:$F$63,E35&amp;"D",$D$14:$D$63),"")</f>
        <v/>
      </c>
      <c r="K35" s="319">
        <f t="shared" ref="K35:K63" si="30">MAX(I35:J35)</f>
        <v>0</v>
      </c>
      <c r="M35" s="355">
        <f t="shared" ref="M35:M63" si="31">IFERROR(VLOOKUP(B35,TeamRecord,3,FALSE), "")</f>
        <v>0</v>
      </c>
      <c r="O35" s="319">
        <f>RANK($Y35,$Y$14:$Y$63)+COUNTIF(Y$14:Y35,Y35)-1</f>
        <v>22</v>
      </c>
      <c r="P35" s="351"/>
      <c r="Q35" s="335"/>
      <c r="R35" s="336"/>
      <c r="S35" s="337"/>
      <c r="T35" s="320" t="str">
        <f t="shared" si="16"/>
        <v/>
      </c>
      <c r="U35" s="319">
        <f>COUNTIF(S$14:S35,S35)</f>
        <v>0</v>
      </c>
      <c r="V35" s="319">
        <f t="shared" si="17"/>
        <v>1</v>
      </c>
      <c r="W35" s="319" t="str">
        <f t="shared" si="18"/>
        <v/>
      </c>
      <c r="X35" s="319" t="str">
        <f t="shared" si="19"/>
        <v/>
      </c>
      <c r="Y35" s="319">
        <f t="shared" si="20"/>
        <v>0</v>
      </c>
      <c r="AA35" s="355">
        <f t="shared" si="11"/>
        <v>0</v>
      </c>
    </row>
    <row r="36" spans="1:27" x14ac:dyDescent="0.2">
      <c r="A36" s="347">
        <f>RANK($K36,$K$14:$K$63)+COUNTIF(K$14:K36,K36)-1</f>
        <v>23</v>
      </c>
      <c r="B36" s="354"/>
      <c r="C36" s="335"/>
      <c r="D36" s="336"/>
      <c r="E36" s="337"/>
      <c r="F36" s="320" t="str">
        <f t="shared" si="26"/>
        <v/>
      </c>
      <c r="G36" s="319">
        <f>COUNTIF(E$14:E36,E36)</f>
        <v>0</v>
      </c>
      <c r="H36" s="319">
        <f t="shared" si="27"/>
        <v>1</v>
      </c>
      <c r="I36" s="319" t="str">
        <f t="shared" si="28"/>
        <v/>
      </c>
      <c r="J36" s="319" t="str">
        <f t="shared" si="29"/>
        <v/>
      </c>
      <c r="K36" s="319">
        <f t="shared" si="30"/>
        <v>0</v>
      </c>
      <c r="M36" s="355">
        <f t="shared" si="31"/>
        <v>0</v>
      </c>
      <c r="O36" s="319">
        <f>RANK($Y36,$Y$14:$Y$63)+COUNTIF(Y$14:Y36,Y36)-1</f>
        <v>23</v>
      </c>
      <c r="P36" s="351"/>
      <c r="Q36" s="335"/>
      <c r="R36" s="336"/>
      <c r="S36" s="337"/>
      <c r="T36" s="320" t="str">
        <f t="shared" si="16"/>
        <v/>
      </c>
      <c r="U36" s="319">
        <f>COUNTIF(S$14:S36,S36)</f>
        <v>0</v>
      </c>
      <c r="V36" s="319">
        <f t="shared" si="17"/>
        <v>1</v>
      </c>
      <c r="W36" s="319" t="str">
        <f t="shared" si="18"/>
        <v/>
      </c>
      <c r="X36" s="319" t="str">
        <f t="shared" si="19"/>
        <v/>
      </c>
      <c r="Y36" s="319">
        <f t="shared" si="20"/>
        <v>0</v>
      </c>
      <c r="AA36" s="355">
        <f t="shared" si="11"/>
        <v>0</v>
      </c>
    </row>
    <row r="37" spans="1:27" x14ac:dyDescent="0.2">
      <c r="A37" s="347">
        <f>RANK($K37,$K$14:$K$63)+COUNTIF(K$14:K37,K37)-1</f>
        <v>24</v>
      </c>
      <c r="B37" s="354"/>
      <c r="C37" s="335"/>
      <c r="D37" s="336"/>
      <c r="E37" s="337"/>
      <c r="F37" s="320" t="str">
        <f t="shared" si="26"/>
        <v/>
      </c>
      <c r="G37" s="319">
        <f>COUNTIF(E$14:E37,E37)</f>
        <v>0</v>
      </c>
      <c r="H37" s="319">
        <f t="shared" si="27"/>
        <v>1</v>
      </c>
      <c r="I37" s="319" t="str">
        <f t="shared" si="28"/>
        <v/>
      </c>
      <c r="J37" s="319" t="str">
        <f t="shared" si="29"/>
        <v/>
      </c>
      <c r="K37" s="319">
        <f t="shared" si="30"/>
        <v>0</v>
      </c>
      <c r="M37" s="355">
        <f t="shared" si="31"/>
        <v>0</v>
      </c>
      <c r="O37" s="319">
        <f>RANK($Y37,$Y$14:$Y$63)+COUNTIF(Y$14:Y37,Y37)-1</f>
        <v>24</v>
      </c>
      <c r="P37" s="351"/>
      <c r="Q37" s="335"/>
      <c r="R37" s="336"/>
      <c r="S37" s="337"/>
      <c r="T37" s="320" t="str">
        <f t="shared" si="16"/>
        <v/>
      </c>
      <c r="U37" s="319">
        <f>COUNTIF(S$14:S37,S37)</f>
        <v>0</v>
      </c>
      <c r="V37" s="319">
        <f t="shared" si="17"/>
        <v>1</v>
      </c>
      <c r="W37" s="319" t="str">
        <f t="shared" si="18"/>
        <v/>
      </c>
      <c r="X37" s="319" t="str">
        <f t="shared" si="19"/>
        <v/>
      </c>
      <c r="Y37" s="319">
        <f t="shared" si="20"/>
        <v>0</v>
      </c>
      <c r="AA37" s="355">
        <f t="shared" si="11"/>
        <v>0</v>
      </c>
    </row>
    <row r="38" spans="1:27" x14ac:dyDescent="0.2">
      <c r="A38" s="347">
        <f>RANK($K38,$K$14:$K$63)+COUNTIF(K$14:K38,K38)-1</f>
        <v>25</v>
      </c>
      <c r="B38" s="354"/>
      <c r="C38" s="335"/>
      <c r="D38" s="336"/>
      <c r="E38" s="337"/>
      <c r="F38" s="320" t="str">
        <f t="shared" si="26"/>
        <v/>
      </c>
      <c r="G38" s="319">
        <f>COUNTIF(E$14:E38,E38)</f>
        <v>0</v>
      </c>
      <c r="H38" s="319">
        <f t="shared" si="27"/>
        <v>1</v>
      </c>
      <c r="I38" s="319" t="str">
        <f t="shared" si="28"/>
        <v/>
      </c>
      <c r="J38" s="319" t="str">
        <f t="shared" si="29"/>
        <v/>
      </c>
      <c r="K38" s="319">
        <f t="shared" si="30"/>
        <v>0</v>
      </c>
      <c r="M38" s="355">
        <f t="shared" si="31"/>
        <v>0</v>
      </c>
      <c r="O38" s="319">
        <f>RANK($Y38,$Y$14:$Y$63)+COUNTIF(Y$14:Y38,Y38)-1</f>
        <v>25</v>
      </c>
      <c r="P38" s="351"/>
      <c r="Q38" s="335"/>
      <c r="R38" s="336"/>
      <c r="S38" s="337"/>
      <c r="T38" s="320" t="str">
        <f t="shared" si="16"/>
        <v/>
      </c>
      <c r="U38" s="319">
        <f>COUNTIF(S$14:S38,S38)</f>
        <v>0</v>
      </c>
      <c r="V38" s="319">
        <f t="shared" si="17"/>
        <v>1</v>
      </c>
      <c r="W38" s="319" t="str">
        <f t="shared" si="18"/>
        <v/>
      </c>
      <c r="X38" s="319" t="str">
        <f t="shared" si="19"/>
        <v/>
      </c>
      <c r="Y38" s="319">
        <f t="shared" si="20"/>
        <v>0</v>
      </c>
      <c r="AA38" s="355">
        <f t="shared" si="11"/>
        <v>0</v>
      </c>
    </row>
    <row r="39" spans="1:27" x14ac:dyDescent="0.2">
      <c r="A39" s="347">
        <f>RANK($K39,$K$14:$K$63)+COUNTIF(K$14:K39,K39)-1</f>
        <v>26</v>
      </c>
      <c r="B39" s="354"/>
      <c r="C39" s="335"/>
      <c r="D39" s="336"/>
      <c r="E39" s="337"/>
      <c r="F39" s="320" t="str">
        <f t="shared" si="26"/>
        <v/>
      </c>
      <c r="G39" s="319">
        <f>COUNTIF(E$14:E39,E39)</f>
        <v>0</v>
      </c>
      <c r="H39" s="319">
        <f t="shared" si="27"/>
        <v>1</v>
      </c>
      <c r="I39" s="319" t="str">
        <f t="shared" si="28"/>
        <v/>
      </c>
      <c r="J39" s="319" t="str">
        <f t="shared" si="29"/>
        <v/>
      </c>
      <c r="K39" s="319">
        <f t="shared" si="30"/>
        <v>0</v>
      </c>
      <c r="M39" s="355">
        <f t="shared" si="31"/>
        <v>0</v>
      </c>
      <c r="O39" s="319">
        <f>RANK($Y39,$Y$14:$Y$63)+COUNTIF(Y$14:Y39,Y39)-1</f>
        <v>26</v>
      </c>
      <c r="P39" s="351"/>
      <c r="Q39" s="335"/>
      <c r="R39" s="336"/>
      <c r="S39" s="337"/>
      <c r="T39" s="320" t="str">
        <f t="shared" si="16"/>
        <v/>
      </c>
      <c r="U39" s="319">
        <f>COUNTIF(S$14:S39,S39)</f>
        <v>0</v>
      </c>
      <c r="V39" s="319">
        <f t="shared" si="17"/>
        <v>1</v>
      </c>
      <c r="W39" s="319" t="str">
        <f t="shared" si="18"/>
        <v/>
      </c>
      <c r="X39" s="319" t="str">
        <f t="shared" si="19"/>
        <v/>
      </c>
      <c r="Y39" s="319">
        <f t="shared" si="20"/>
        <v>0</v>
      </c>
      <c r="AA39" s="355">
        <f t="shared" si="11"/>
        <v>0</v>
      </c>
    </row>
    <row r="40" spans="1:27" x14ac:dyDescent="0.2">
      <c r="A40" s="347">
        <f>RANK($K40,$K$14:$K$63)+COUNTIF(K$14:K40,K40)-1</f>
        <v>27</v>
      </c>
      <c r="B40" s="354"/>
      <c r="C40" s="335"/>
      <c r="D40" s="336"/>
      <c r="E40" s="337"/>
      <c r="F40" s="320" t="str">
        <f t="shared" si="26"/>
        <v/>
      </c>
      <c r="G40" s="319">
        <f>COUNTIF(E$14:E40,E40)</f>
        <v>0</v>
      </c>
      <c r="H40" s="319">
        <f t="shared" si="27"/>
        <v>1</v>
      </c>
      <c r="I40" s="319" t="str">
        <f t="shared" si="28"/>
        <v/>
      </c>
      <c r="J40" s="319" t="str">
        <f t="shared" si="29"/>
        <v/>
      </c>
      <c r="K40" s="319">
        <f t="shared" si="30"/>
        <v>0</v>
      </c>
      <c r="M40" s="355">
        <f t="shared" si="31"/>
        <v>0</v>
      </c>
      <c r="O40" s="319">
        <f>RANK($Y40,$Y$14:$Y$63)+COUNTIF(Y$14:Y40,Y40)-1</f>
        <v>27</v>
      </c>
      <c r="P40" s="351"/>
      <c r="Q40" s="335"/>
      <c r="R40" s="336"/>
      <c r="S40" s="337"/>
      <c r="T40" s="320" t="str">
        <f t="shared" si="16"/>
        <v/>
      </c>
      <c r="U40" s="319">
        <f>COUNTIF(S$14:S40,S40)</f>
        <v>0</v>
      </c>
      <c r="V40" s="319">
        <f t="shared" si="17"/>
        <v>1</v>
      </c>
      <c r="W40" s="319" t="str">
        <f t="shared" si="18"/>
        <v/>
      </c>
      <c r="X40" s="319" t="str">
        <f t="shared" si="19"/>
        <v/>
      </c>
      <c r="Y40" s="319">
        <f t="shared" si="20"/>
        <v>0</v>
      </c>
      <c r="AA40" s="355">
        <f t="shared" si="11"/>
        <v>0</v>
      </c>
    </row>
    <row r="41" spans="1:27" x14ac:dyDescent="0.2">
      <c r="A41" s="347">
        <f>RANK($K41,$K$14:$K$63)+COUNTIF(K$14:K41,K41)-1</f>
        <v>28</v>
      </c>
      <c r="B41" s="354"/>
      <c r="C41" s="335"/>
      <c r="D41" s="336"/>
      <c r="E41" s="337"/>
      <c r="F41" s="320" t="str">
        <f t="shared" si="26"/>
        <v/>
      </c>
      <c r="G41" s="319">
        <f>COUNTIF(E$14:E41,E41)</f>
        <v>0</v>
      </c>
      <c r="H41" s="319">
        <f t="shared" si="27"/>
        <v>1</v>
      </c>
      <c r="I41" s="319" t="str">
        <f t="shared" si="28"/>
        <v/>
      </c>
      <c r="J41" s="319" t="str">
        <f t="shared" si="29"/>
        <v/>
      </c>
      <c r="K41" s="319">
        <f t="shared" si="30"/>
        <v>0</v>
      </c>
      <c r="M41" s="355">
        <f t="shared" si="31"/>
        <v>0</v>
      </c>
      <c r="O41" s="319">
        <f>RANK($Y41,$Y$14:$Y$63)+COUNTIF(Y$14:Y41,Y41)-1</f>
        <v>28</v>
      </c>
      <c r="P41" s="351"/>
      <c r="Q41" s="335"/>
      <c r="R41" s="336"/>
      <c r="S41" s="337"/>
      <c r="T41" s="320" t="str">
        <f t="shared" si="16"/>
        <v/>
      </c>
      <c r="U41" s="319">
        <f>COUNTIF(S$14:S41,S41)</f>
        <v>0</v>
      </c>
      <c r="V41" s="319">
        <f t="shared" si="17"/>
        <v>1</v>
      </c>
      <c r="W41" s="319" t="str">
        <f t="shared" si="18"/>
        <v/>
      </c>
      <c r="X41" s="319" t="str">
        <f t="shared" si="19"/>
        <v/>
      </c>
      <c r="Y41" s="319">
        <f t="shared" si="20"/>
        <v>0</v>
      </c>
      <c r="AA41" s="355">
        <f t="shared" si="11"/>
        <v>0</v>
      </c>
    </row>
    <row r="42" spans="1:27" x14ac:dyDescent="0.2">
      <c r="A42" s="347">
        <f>RANK($K42,$K$14:$K$63)+COUNTIF(K$14:K42,K42)-1</f>
        <v>29</v>
      </c>
      <c r="B42" s="354"/>
      <c r="C42" s="335"/>
      <c r="D42" s="336"/>
      <c r="E42" s="337"/>
      <c r="F42" s="320" t="str">
        <f t="shared" si="26"/>
        <v/>
      </c>
      <c r="G42" s="319">
        <f>COUNTIF(E$14:E42,E42)</f>
        <v>0</v>
      </c>
      <c r="H42" s="319">
        <f t="shared" si="27"/>
        <v>1</v>
      </c>
      <c r="I42" s="319" t="str">
        <f t="shared" si="28"/>
        <v/>
      </c>
      <c r="J42" s="319" t="str">
        <f t="shared" si="29"/>
        <v/>
      </c>
      <c r="K42" s="319">
        <f t="shared" si="30"/>
        <v>0</v>
      </c>
      <c r="M42" s="355">
        <f t="shared" si="31"/>
        <v>0</v>
      </c>
      <c r="O42" s="319">
        <f>RANK($Y42,$Y$14:$Y$63)+COUNTIF(Y$14:Y42,Y42)-1</f>
        <v>29</v>
      </c>
      <c r="P42" s="351"/>
      <c r="Q42" s="335"/>
      <c r="R42" s="336"/>
      <c r="S42" s="337"/>
      <c r="T42" s="320" t="str">
        <f t="shared" si="16"/>
        <v/>
      </c>
      <c r="U42" s="319">
        <f>COUNTIF(S$14:S42,S42)</f>
        <v>0</v>
      </c>
      <c r="V42" s="319">
        <f t="shared" si="17"/>
        <v>1</v>
      </c>
      <c r="W42" s="319" t="str">
        <f t="shared" si="18"/>
        <v/>
      </c>
      <c r="X42" s="319" t="str">
        <f t="shared" si="19"/>
        <v/>
      </c>
      <c r="Y42" s="319">
        <f t="shared" si="20"/>
        <v>0</v>
      </c>
      <c r="AA42" s="355">
        <f t="shared" si="11"/>
        <v>0</v>
      </c>
    </row>
    <row r="43" spans="1:27" x14ac:dyDescent="0.2">
      <c r="A43" s="347">
        <f>RANK($K43,$K$14:$K$63)+COUNTIF(K$14:K43,K43)-1</f>
        <v>30</v>
      </c>
      <c r="B43" s="354"/>
      <c r="C43" s="335"/>
      <c r="D43" s="336"/>
      <c r="E43" s="337"/>
      <c r="F43" s="320" t="str">
        <f t="shared" si="26"/>
        <v/>
      </c>
      <c r="G43" s="319">
        <f>COUNTIF(E$14:E43,E43)</f>
        <v>0</v>
      </c>
      <c r="H43" s="319">
        <f t="shared" si="27"/>
        <v>1</v>
      </c>
      <c r="I43" s="319" t="str">
        <f t="shared" si="28"/>
        <v/>
      </c>
      <c r="J43" s="319" t="str">
        <f t="shared" si="29"/>
        <v/>
      </c>
      <c r="K43" s="319">
        <f t="shared" si="30"/>
        <v>0</v>
      </c>
      <c r="M43" s="355">
        <f t="shared" si="31"/>
        <v>0</v>
      </c>
      <c r="O43" s="319">
        <f>RANK($Y43,$Y$14:$Y$63)+COUNTIF(Y$14:Y43,Y43)-1</f>
        <v>30</v>
      </c>
      <c r="P43" s="351"/>
      <c r="Q43" s="335"/>
      <c r="R43" s="336"/>
      <c r="S43" s="337"/>
      <c r="T43" s="320" t="str">
        <f t="shared" si="16"/>
        <v/>
      </c>
      <c r="U43" s="319">
        <f>COUNTIF(S$14:S43,S43)</f>
        <v>0</v>
      </c>
      <c r="V43" s="319">
        <f t="shared" si="17"/>
        <v>1</v>
      </c>
      <c r="W43" s="319" t="str">
        <f t="shared" si="18"/>
        <v/>
      </c>
      <c r="X43" s="319" t="str">
        <f t="shared" si="19"/>
        <v/>
      </c>
      <c r="Y43" s="319">
        <f t="shared" si="20"/>
        <v>0</v>
      </c>
      <c r="AA43" s="355">
        <f t="shared" si="11"/>
        <v>0</v>
      </c>
    </row>
    <row r="44" spans="1:27" x14ac:dyDescent="0.2">
      <c r="A44" s="347"/>
      <c r="B44" s="354"/>
      <c r="C44" s="335"/>
      <c r="D44" s="336"/>
      <c r="E44" s="337"/>
      <c r="F44" s="320" t="str">
        <f t="shared" si="26"/>
        <v/>
      </c>
      <c r="G44" s="319">
        <f>COUNTIF(E$14:E44,E44)</f>
        <v>0</v>
      </c>
      <c r="H44" s="319">
        <f t="shared" si="27"/>
        <v>1</v>
      </c>
      <c r="I44" s="319" t="str">
        <f t="shared" si="28"/>
        <v/>
      </c>
      <c r="J44" s="319" t="str">
        <f t="shared" si="29"/>
        <v/>
      </c>
      <c r="K44" s="319">
        <f t="shared" si="30"/>
        <v>0</v>
      </c>
      <c r="M44" s="355">
        <f t="shared" si="31"/>
        <v>0</v>
      </c>
      <c r="O44" s="319"/>
      <c r="P44" s="351"/>
      <c r="Q44" s="335"/>
      <c r="R44" s="336"/>
      <c r="S44" s="337"/>
      <c r="T44" s="320" t="str">
        <f t="shared" ref="T44:T45" si="32">S44&amp;Q44</f>
        <v/>
      </c>
      <c r="U44" s="319">
        <f>COUNTIF(S$14:S44,S44)</f>
        <v>0</v>
      </c>
      <c r="V44" s="319">
        <f t="shared" ref="V44:V45" si="33">RANK(Y44,$Y$14:$Y$63,0)</f>
        <v>1</v>
      </c>
      <c r="W44" s="319" t="str">
        <f t="shared" ref="W44:W45" si="34">IF(U44=1,SUMIF($T$14:$T$63,S44&amp;"P",$R$14:$R$63),"")</f>
        <v/>
      </c>
      <c r="X44" s="319" t="str">
        <f t="shared" ref="X44:X45" si="35">IF(U44=1,SUMIF($T$14:$T$63,S44&amp;"D",$R$14:$R$63),"")</f>
        <v/>
      </c>
      <c r="Y44" s="319">
        <f t="shared" ref="Y44:Y45" si="36">MAX(W44:X44)</f>
        <v>0</v>
      </c>
      <c r="AA44" s="355">
        <f t="shared" ref="AA44:AA45" si="37">IFERROR(VLOOKUP(P44,TeamRecord,3,FALSE), "")</f>
        <v>0</v>
      </c>
    </row>
    <row r="45" spans="1:27" x14ac:dyDescent="0.2">
      <c r="A45" s="347">
        <f>RANK($K45,$K$14:$K$63)+COUNTIF(K$14:K45,K45)-1</f>
        <v>32</v>
      </c>
      <c r="B45" s="354"/>
      <c r="C45" s="335"/>
      <c r="D45" s="336"/>
      <c r="E45" s="337"/>
      <c r="F45" s="320" t="str">
        <f t="shared" si="26"/>
        <v/>
      </c>
      <c r="G45" s="319">
        <f>COUNTIF(E$14:E45,E45)</f>
        <v>0</v>
      </c>
      <c r="H45" s="319">
        <f t="shared" si="27"/>
        <v>1</v>
      </c>
      <c r="I45" s="319" t="str">
        <f t="shared" si="28"/>
        <v/>
      </c>
      <c r="J45" s="319" t="str">
        <f t="shared" si="29"/>
        <v/>
      </c>
      <c r="K45" s="319">
        <f t="shared" si="30"/>
        <v>0</v>
      </c>
      <c r="M45" s="355">
        <f t="shared" si="31"/>
        <v>0</v>
      </c>
      <c r="O45" s="319">
        <f>RANK($Y45,$Y$14:$Y$63)+COUNTIF(Y$14:Y45,Y45)-1</f>
        <v>32</v>
      </c>
      <c r="P45" s="351"/>
      <c r="Q45" s="335"/>
      <c r="R45" s="336"/>
      <c r="S45" s="337"/>
      <c r="T45" s="320" t="str">
        <f t="shared" si="32"/>
        <v/>
      </c>
      <c r="U45" s="319">
        <f>COUNTIF(S$14:S45,S45)</f>
        <v>0</v>
      </c>
      <c r="V45" s="319">
        <f t="shared" si="33"/>
        <v>1</v>
      </c>
      <c r="W45" s="319" t="str">
        <f t="shared" si="34"/>
        <v/>
      </c>
      <c r="X45" s="319" t="str">
        <f t="shared" si="35"/>
        <v/>
      </c>
      <c r="Y45" s="319">
        <f t="shared" si="36"/>
        <v>0</v>
      </c>
      <c r="AA45" s="355">
        <f t="shared" si="37"/>
        <v>0</v>
      </c>
    </row>
    <row r="46" spans="1:27" x14ac:dyDescent="0.2">
      <c r="A46" s="347">
        <f>RANK($K46,$K$14:$K$63)+COUNTIF(K$14:K46,K46)-1</f>
        <v>33</v>
      </c>
      <c r="B46" s="354"/>
      <c r="C46" s="335"/>
      <c r="D46" s="336"/>
      <c r="E46" s="337"/>
      <c r="F46" s="320" t="str">
        <f t="shared" si="26"/>
        <v/>
      </c>
      <c r="G46" s="319">
        <f>COUNTIF(E$14:E46,E46)</f>
        <v>0</v>
      </c>
      <c r="H46" s="319">
        <f t="shared" si="27"/>
        <v>1</v>
      </c>
      <c r="I46" s="319" t="str">
        <f t="shared" si="28"/>
        <v/>
      </c>
      <c r="J46" s="319" t="str">
        <f t="shared" si="29"/>
        <v/>
      </c>
      <c r="K46" s="319">
        <f t="shared" si="30"/>
        <v>0</v>
      </c>
      <c r="M46" s="355">
        <f t="shared" si="31"/>
        <v>0</v>
      </c>
      <c r="O46" s="319">
        <f>RANK($Y46,$Y$14:$Y$63)+COUNTIF(Y$14:Y46,Y46)-1</f>
        <v>33</v>
      </c>
      <c r="P46" s="351"/>
      <c r="Q46" s="335"/>
      <c r="R46" s="336"/>
      <c r="S46" s="337"/>
      <c r="T46" s="320" t="str">
        <f t="shared" si="16"/>
        <v/>
      </c>
      <c r="U46" s="319">
        <f>COUNTIF(S$14:S46,S46)</f>
        <v>0</v>
      </c>
      <c r="V46" s="319">
        <f t="shared" si="17"/>
        <v>1</v>
      </c>
      <c r="W46" s="319" t="str">
        <f t="shared" si="18"/>
        <v/>
      </c>
      <c r="X46" s="319" t="str">
        <f t="shared" si="19"/>
        <v/>
      </c>
      <c r="Y46" s="319">
        <f t="shared" si="20"/>
        <v>0</v>
      </c>
      <c r="AA46" s="355">
        <f t="shared" si="11"/>
        <v>0</v>
      </c>
    </row>
    <row r="47" spans="1:27" x14ac:dyDescent="0.2">
      <c r="A47" s="347">
        <f>RANK($K47,$K$14:$K$63)+COUNTIF(K$14:K47,K47)-1</f>
        <v>34</v>
      </c>
      <c r="B47" s="354"/>
      <c r="C47" s="335"/>
      <c r="D47" s="336"/>
      <c r="E47" s="337"/>
      <c r="F47" s="320" t="str">
        <f t="shared" si="26"/>
        <v/>
      </c>
      <c r="G47" s="319">
        <f>COUNTIF(E$14:E47,E47)</f>
        <v>0</v>
      </c>
      <c r="H47" s="319">
        <f t="shared" si="27"/>
        <v>1</v>
      </c>
      <c r="I47" s="319" t="str">
        <f t="shared" si="28"/>
        <v/>
      </c>
      <c r="J47" s="319" t="str">
        <f t="shared" si="29"/>
        <v/>
      </c>
      <c r="K47" s="319">
        <f t="shared" si="30"/>
        <v>0</v>
      </c>
      <c r="M47" s="355">
        <f t="shared" si="31"/>
        <v>0</v>
      </c>
      <c r="O47" s="319">
        <f>RANK($Y47,$Y$14:$Y$63)+COUNTIF(Y$14:Y47,Y47)-1</f>
        <v>34</v>
      </c>
      <c r="P47" s="351"/>
      <c r="Q47" s="335"/>
      <c r="R47" s="336"/>
      <c r="S47" s="337"/>
      <c r="T47" s="320" t="str">
        <f t="shared" si="16"/>
        <v/>
      </c>
      <c r="U47" s="319">
        <f>COUNTIF(S$14:S47,S47)</f>
        <v>0</v>
      </c>
      <c r="V47" s="319">
        <f t="shared" si="17"/>
        <v>1</v>
      </c>
      <c r="W47" s="319" t="str">
        <f t="shared" si="18"/>
        <v/>
      </c>
      <c r="X47" s="319" t="str">
        <f t="shared" si="19"/>
        <v/>
      </c>
      <c r="Y47" s="319">
        <f t="shared" si="20"/>
        <v>0</v>
      </c>
      <c r="AA47" s="355">
        <f t="shared" ref="AA47:AA63" si="38">IFERROR(VLOOKUP(P47,TeamRecord,3,FALSE), "")</f>
        <v>0</v>
      </c>
    </row>
    <row r="48" spans="1:27" x14ac:dyDescent="0.2">
      <c r="A48" s="347">
        <f>RANK($K48,$K$14:$K$63)+COUNTIF(K$14:K48,K48)-1</f>
        <v>35</v>
      </c>
      <c r="B48" s="354"/>
      <c r="C48" s="335"/>
      <c r="D48" s="336"/>
      <c r="E48" s="337"/>
      <c r="F48" s="320" t="str">
        <f t="shared" si="26"/>
        <v/>
      </c>
      <c r="G48" s="319">
        <f>COUNTIF(E$14:E48,E48)</f>
        <v>0</v>
      </c>
      <c r="H48" s="319">
        <f t="shared" si="27"/>
        <v>1</v>
      </c>
      <c r="I48" s="319" t="str">
        <f t="shared" si="28"/>
        <v/>
      </c>
      <c r="J48" s="319" t="str">
        <f t="shared" si="29"/>
        <v/>
      </c>
      <c r="K48" s="319">
        <f t="shared" si="30"/>
        <v>0</v>
      </c>
      <c r="M48" s="355">
        <f t="shared" si="31"/>
        <v>0</v>
      </c>
      <c r="O48" s="319">
        <f>RANK($Y48,$Y$14:$Y$63)+COUNTIF(Y$14:Y48,Y48)-1</f>
        <v>35</v>
      </c>
      <c r="P48" s="351"/>
      <c r="Q48" s="335"/>
      <c r="R48" s="336"/>
      <c r="S48" s="337"/>
      <c r="T48" s="320" t="str">
        <f t="shared" si="16"/>
        <v/>
      </c>
      <c r="U48" s="319">
        <f>COUNTIF(S$14:S48,S48)</f>
        <v>0</v>
      </c>
      <c r="V48" s="319">
        <f t="shared" si="17"/>
        <v>1</v>
      </c>
      <c r="W48" s="319" t="str">
        <f t="shared" si="18"/>
        <v/>
      </c>
      <c r="X48" s="319" t="str">
        <f t="shared" si="19"/>
        <v/>
      </c>
      <c r="Y48" s="319">
        <f t="shared" si="20"/>
        <v>0</v>
      </c>
      <c r="AA48" s="355">
        <f t="shared" si="38"/>
        <v>0</v>
      </c>
    </row>
    <row r="49" spans="1:27" x14ac:dyDescent="0.2">
      <c r="A49" s="347">
        <f>RANK($K49,$K$14:$K$63)+COUNTIF(K$14:K49,K49)-1</f>
        <v>36</v>
      </c>
      <c r="B49" s="354"/>
      <c r="C49" s="335"/>
      <c r="D49" s="336"/>
      <c r="E49" s="337"/>
      <c r="F49" s="320" t="str">
        <f t="shared" si="26"/>
        <v/>
      </c>
      <c r="G49" s="319">
        <f>COUNTIF(E$14:E49,E49)</f>
        <v>0</v>
      </c>
      <c r="H49" s="319">
        <f t="shared" si="27"/>
        <v>1</v>
      </c>
      <c r="I49" s="319" t="str">
        <f t="shared" si="28"/>
        <v/>
      </c>
      <c r="J49" s="319" t="str">
        <f t="shared" si="29"/>
        <v/>
      </c>
      <c r="K49" s="319">
        <f t="shared" si="30"/>
        <v>0</v>
      </c>
      <c r="M49" s="355">
        <f t="shared" si="31"/>
        <v>0</v>
      </c>
      <c r="O49" s="319">
        <f>RANK($Y49,$Y$14:$Y$63)+COUNTIF(Y$14:Y49,Y49)-1</f>
        <v>36</v>
      </c>
      <c r="P49" s="351"/>
      <c r="Q49" s="335"/>
      <c r="R49" s="336"/>
      <c r="S49" s="337"/>
      <c r="T49" s="320" t="str">
        <f t="shared" si="16"/>
        <v/>
      </c>
      <c r="U49" s="319">
        <f>COUNTIF(S$14:S49,S49)</f>
        <v>0</v>
      </c>
      <c r="V49" s="319">
        <f t="shared" si="17"/>
        <v>1</v>
      </c>
      <c r="W49" s="319" t="str">
        <f t="shared" si="18"/>
        <v/>
      </c>
      <c r="X49" s="319" t="str">
        <f t="shared" si="19"/>
        <v/>
      </c>
      <c r="Y49" s="319">
        <f t="shared" si="20"/>
        <v>0</v>
      </c>
      <c r="AA49" s="355">
        <f t="shared" si="38"/>
        <v>0</v>
      </c>
    </row>
    <row r="50" spans="1:27" x14ac:dyDescent="0.2">
      <c r="A50" s="347">
        <f>RANK($K50,$K$14:$K$63)+COUNTIF(K$14:K50,K50)-1</f>
        <v>37</v>
      </c>
      <c r="B50" s="354"/>
      <c r="C50" s="335"/>
      <c r="D50" s="336"/>
      <c r="E50" s="337"/>
      <c r="F50" s="320" t="str">
        <f t="shared" si="26"/>
        <v/>
      </c>
      <c r="G50" s="319">
        <f>COUNTIF(E$14:E50,E50)</f>
        <v>0</v>
      </c>
      <c r="H50" s="319">
        <f t="shared" si="27"/>
        <v>1</v>
      </c>
      <c r="I50" s="319" t="str">
        <f t="shared" si="28"/>
        <v/>
      </c>
      <c r="J50" s="319" t="str">
        <f t="shared" si="29"/>
        <v/>
      </c>
      <c r="K50" s="319">
        <f t="shared" si="30"/>
        <v>0</v>
      </c>
      <c r="M50" s="355">
        <f t="shared" si="31"/>
        <v>0</v>
      </c>
      <c r="O50" s="319">
        <f>RANK($Y50,$Y$14:$Y$63)+COUNTIF(Y$14:Y50,Y50)-1</f>
        <v>37</v>
      </c>
      <c r="P50" s="351"/>
      <c r="Q50" s="335"/>
      <c r="R50" s="336"/>
      <c r="S50" s="337"/>
      <c r="T50" s="320" t="str">
        <f t="shared" si="16"/>
        <v/>
      </c>
      <c r="U50" s="319">
        <f>COUNTIF(S$14:S50,S50)</f>
        <v>0</v>
      </c>
      <c r="V50" s="319">
        <f t="shared" si="17"/>
        <v>1</v>
      </c>
      <c r="W50" s="319" t="str">
        <f t="shared" si="18"/>
        <v/>
      </c>
      <c r="X50" s="319" t="str">
        <f t="shared" si="19"/>
        <v/>
      </c>
      <c r="Y50" s="319">
        <f t="shared" si="20"/>
        <v>0</v>
      </c>
      <c r="AA50" s="355">
        <f t="shared" si="38"/>
        <v>0</v>
      </c>
    </row>
    <row r="51" spans="1:27" x14ac:dyDescent="0.2">
      <c r="A51" s="347">
        <f>RANK($K51,$K$14:$K$63)+COUNTIF(K$14:K51,K51)-1</f>
        <v>38</v>
      </c>
      <c r="B51" s="354"/>
      <c r="C51" s="335"/>
      <c r="D51" s="336"/>
      <c r="E51" s="337"/>
      <c r="F51" s="320" t="str">
        <f t="shared" si="26"/>
        <v/>
      </c>
      <c r="G51" s="319">
        <f>COUNTIF(E$14:E51,E51)</f>
        <v>0</v>
      </c>
      <c r="H51" s="319">
        <f t="shared" si="27"/>
        <v>1</v>
      </c>
      <c r="I51" s="319" t="str">
        <f t="shared" si="28"/>
        <v/>
      </c>
      <c r="J51" s="319" t="str">
        <f t="shared" si="29"/>
        <v/>
      </c>
      <c r="K51" s="319">
        <f t="shared" si="30"/>
        <v>0</v>
      </c>
      <c r="M51" s="355">
        <f t="shared" si="31"/>
        <v>0</v>
      </c>
      <c r="O51" s="319">
        <f>RANK($Y51,$Y$14:$Y$63)+COUNTIF(Y$14:Y51,Y51)-1</f>
        <v>38</v>
      </c>
      <c r="P51" s="351"/>
      <c r="Q51" s="335"/>
      <c r="R51" s="336"/>
      <c r="S51" s="337"/>
      <c r="T51" s="320" t="str">
        <f t="shared" si="16"/>
        <v/>
      </c>
      <c r="U51" s="319">
        <f>COUNTIF(S$14:S51,S51)</f>
        <v>0</v>
      </c>
      <c r="V51" s="319">
        <f t="shared" si="17"/>
        <v>1</v>
      </c>
      <c r="W51" s="319" t="str">
        <f t="shared" si="18"/>
        <v/>
      </c>
      <c r="X51" s="319" t="str">
        <f t="shared" si="19"/>
        <v/>
      </c>
      <c r="Y51" s="319">
        <f t="shared" si="20"/>
        <v>0</v>
      </c>
      <c r="AA51" s="355">
        <f t="shared" si="38"/>
        <v>0</v>
      </c>
    </row>
    <row r="52" spans="1:27" x14ac:dyDescent="0.2">
      <c r="A52" s="347">
        <f>RANK($K52,$K$14:$K$63)+COUNTIF(K$14:K52,K52)-1</f>
        <v>39</v>
      </c>
      <c r="B52" s="354"/>
      <c r="C52" s="335"/>
      <c r="D52" s="336"/>
      <c r="E52" s="337"/>
      <c r="F52" s="320" t="str">
        <f t="shared" si="26"/>
        <v/>
      </c>
      <c r="G52" s="319">
        <f>COUNTIF(E$14:E52,E52)</f>
        <v>0</v>
      </c>
      <c r="H52" s="319">
        <f t="shared" si="27"/>
        <v>1</v>
      </c>
      <c r="I52" s="319" t="str">
        <f t="shared" si="28"/>
        <v/>
      </c>
      <c r="J52" s="319" t="str">
        <f t="shared" si="29"/>
        <v/>
      </c>
      <c r="K52" s="319">
        <f t="shared" si="30"/>
        <v>0</v>
      </c>
      <c r="M52" s="355">
        <f t="shared" si="31"/>
        <v>0</v>
      </c>
      <c r="O52" s="319">
        <f>RANK($Y52,$Y$14:$Y$63)+COUNTIF(Y$14:Y52,Y52)-1</f>
        <v>39</v>
      </c>
      <c r="P52" s="351"/>
      <c r="Q52" s="335"/>
      <c r="R52" s="336"/>
      <c r="S52" s="337"/>
      <c r="T52" s="320" t="str">
        <f t="shared" si="16"/>
        <v/>
      </c>
      <c r="U52" s="319">
        <f>COUNTIF(S$14:S52,S52)</f>
        <v>0</v>
      </c>
      <c r="V52" s="319">
        <f t="shared" si="17"/>
        <v>1</v>
      </c>
      <c r="W52" s="319" t="str">
        <f t="shared" si="18"/>
        <v/>
      </c>
      <c r="X52" s="319" t="str">
        <f t="shared" si="19"/>
        <v/>
      </c>
      <c r="Y52" s="319">
        <f t="shared" si="20"/>
        <v>0</v>
      </c>
      <c r="AA52" s="355">
        <f t="shared" si="38"/>
        <v>0</v>
      </c>
    </row>
    <row r="53" spans="1:27" x14ac:dyDescent="0.2">
      <c r="A53" s="347">
        <f>RANK($K53,$K$14:$K$63)+COUNTIF(K$14:K53,K53)-1</f>
        <v>40</v>
      </c>
      <c r="B53" s="354"/>
      <c r="C53" s="335"/>
      <c r="D53" s="336"/>
      <c r="E53" s="337"/>
      <c r="F53" s="320" t="str">
        <f t="shared" si="26"/>
        <v/>
      </c>
      <c r="G53" s="319">
        <f>COUNTIF(E$14:E53,E53)</f>
        <v>0</v>
      </c>
      <c r="H53" s="319">
        <f t="shared" si="27"/>
        <v>1</v>
      </c>
      <c r="I53" s="319" t="str">
        <f t="shared" si="28"/>
        <v/>
      </c>
      <c r="J53" s="319" t="str">
        <f t="shared" si="29"/>
        <v/>
      </c>
      <c r="K53" s="319">
        <f t="shared" si="30"/>
        <v>0</v>
      </c>
      <c r="M53" s="355">
        <f t="shared" si="31"/>
        <v>0</v>
      </c>
      <c r="O53" s="319">
        <f>RANK($Y53,$Y$14:$Y$63)+COUNTIF(Y$14:Y53,Y53)-1</f>
        <v>40</v>
      </c>
      <c r="P53" s="351"/>
      <c r="Q53" s="335"/>
      <c r="R53" s="336"/>
      <c r="S53" s="337"/>
      <c r="T53" s="320" t="str">
        <f t="shared" si="16"/>
        <v/>
      </c>
      <c r="U53" s="319">
        <f>COUNTIF(S$14:S53,S53)</f>
        <v>0</v>
      </c>
      <c r="V53" s="319">
        <f t="shared" si="17"/>
        <v>1</v>
      </c>
      <c r="W53" s="319" t="str">
        <f t="shared" si="18"/>
        <v/>
      </c>
      <c r="X53" s="319" t="str">
        <f t="shared" si="19"/>
        <v/>
      </c>
      <c r="Y53" s="319">
        <f t="shared" si="20"/>
        <v>0</v>
      </c>
      <c r="AA53" s="355">
        <f t="shared" si="38"/>
        <v>0</v>
      </c>
    </row>
    <row r="54" spans="1:27" x14ac:dyDescent="0.2">
      <c r="A54" s="347">
        <f>RANK($K54,$K$14:$K$63)+COUNTIF(K$14:K54,K54)-1</f>
        <v>41</v>
      </c>
      <c r="B54" s="354"/>
      <c r="C54" s="335"/>
      <c r="D54" s="336"/>
      <c r="E54" s="337"/>
      <c r="F54" s="320" t="str">
        <f t="shared" si="26"/>
        <v/>
      </c>
      <c r="G54" s="319">
        <f>COUNTIF(E$14:E54,E54)</f>
        <v>0</v>
      </c>
      <c r="H54" s="319">
        <f t="shared" si="27"/>
        <v>1</v>
      </c>
      <c r="I54" s="319" t="str">
        <f t="shared" si="28"/>
        <v/>
      </c>
      <c r="J54" s="319" t="str">
        <f t="shared" si="29"/>
        <v/>
      </c>
      <c r="K54" s="319">
        <f t="shared" si="30"/>
        <v>0</v>
      </c>
      <c r="M54" s="355">
        <f t="shared" si="31"/>
        <v>0</v>
      </c>
      <c r="O54" s="319">
        <f>RANK($Y54,$Y$14:$Y$63)+COUNTIF(Y$14:Y54,Y54)-1</f>
        <v>41</v>
      </c>
      <c r="P54" s="351"/>
      <c r="Q54" s="335"/>
      <c r="R54" s="336"/>
      <c r="S54" s="337"/>
      <c r="T54" s="320" t="str">
        <f t="shared" si="16"/>
        <v/>
      </c>
      <c r="U54" s="319">
        <f>COUNTIF(S$14:S54,S54)</f>
        <v>0</v>
      </c>
      <c r="V54" s="319">
        <f t="shared" si="17"/>
        <v>1</v>
      </c>
      <c r="W54" s="319" t="str">
        <f t="shared" si="18"/>
        <v/>
      </c>
      <c r="X54" s="319" t="str">
        <f t="shared" si="19"/>
        <v/>
      </c>
      <c r="Y54" s="319">
        <f t="shared" si="20"/>
        <v>0</v>
      </c>
      <c r="AA54" s="355">
        <f t="shared" si="38"/>
        <v>0</v>
      </c>
    </row>
    <row r="55" spans="1:27" x14ac:dyDescent="0.2">
      <c r="A55" s="347">
        <f>RANK($K55,$K$14:$K$63)+COUNTIF(K$14:K55,K55)-1</f>
        <v>42</v>
      </c>
      <c r="B55" s="354"/>
      <c r="C55" s="335"/>
      <c r="D55" s="336"/>
      <c r="E55" s="337"/>
      <c r="F55" s="320" t="str">
        <f t="shared" si="26"/>
        <v/>
      </c>
      <c r="G55" s="319">
        <f>COUNTIF(E$14:E55,E55)</f>
        <v>0</v>
      </c>
      <c r="H55" s="319">
        <f t="shared" si="27"/>
        <v>1</v>
      </c>
      <c r="I55" s="319" t="str">
        <f t="shared" si="28"/>
        <v/>
      </c>
      <c r="J55" s="319" t="str">
        <f t="shared" si="29"/>
        <v/>
      </c>
      <c r="K55" s="319">
        <f t="shared" si="30"/>
        <v>0</v>
      </c>
      <c r="M55" s="355">
        <f t="shared" si="31"/>
        <v>0</v>
      </c>
      <c r="O55" s="319">
        <f>RANK($Y55,$Y$14:$Y$63)+COUNTIF(Y$14:Y55,Y55)-1</f>
        <v>42</v>
      </c>
      <c r="P55" s="351"/>
      <c r="Q55" s="335"/>
      <c r="R55" s="336"/>
      <c r="S55" s="337"/>
      <c r="T55" s="320" t="str">
        <f t="shared" si="16"/>
        <v/>
      </c>
      <c r="U55" s="319">
        <f>COUNTIF(S$14:S55,S55)</f>
        <v>0</v>
      </c>
      <c r="V55" s="319">
        <f t="shared" si="17"/>
        <v>1</v>
      </c>
      <c r="W55" s="319" t="str">
        <f t="shared" si="18"/>
        <v/>
      </c>
      <c r="X55" s="319" t="str">
        <f t="shared" si="19"/>
        <v/>
      </c>
      <c r="Y55" s="319">
        <f t="shared" si="20"/>
        <v>0</v>
      </c>
      <c r="AA55" s="355">
        <f t="shared" si="38"/>
        <v>0</v>
      </c>
    </row>
    <row r="56" spans="1:27" x14ac:dyDescent="0.2">
      <c r="A56" s="347">
        <f>RANK($K56,$K$14:$K$63)+COUNTIF(K$14:K56,K56)-1</f>
        <v>43</v>
      </c>
      <c r="B56" s="354"/>
      <c r="C56" s="335"/>
      <c r="D56" s="336"/>
      <c r="E56" s="337"/>
      <c r="F56" s="320" t="str">
        <f t="shared" si="26"/>
        <v/>
      </c>
      <c r="G56" s="319">
        <f>COUNTIF(E$14:E56,E56)</f>
        <v>0</v>
      </c>
      <c r="H56" s="319">
        <f t="shared" si="27"/>
        <v>1</v>
      </c>
      <c r="I56" s="319" t="str">
        <f t="shared" si="28"/>
        <v/>
      </c>
      <c r="J56" s="319" t="str">
        <f t="shared" si="29"/>
        <v/>
      </c>
      <c r="K56" s="319">
        <f t="shared" si="30"/>
        <v>0</v>
      </c>
      <c r="M56" s="355">
        <f t="shared" si="31"/>
        <v>0</v>
      </c>
      <c r="O56" s="319">
        <f>RANK($Y56,$Y$14:$Y$63)+COUNTIF(Y$14:Y56,Y56)-1</f>
        <v>43</v>
      </c>
      <c r="P56" s="351"/>
      <c r="Q56" s="335"/>
      <c r="R56" s="336"/>
      <c r="S56" s="337"/>
      <c r="T56" s="320" t="str">
        <f t="shared" si="16"/>
        <v/>
      </c>
      <c r="U56" s="319">
        <f>COUNTIF(S$14:S56,S56)</f>
        <v>0</v>
      </c>
      <c r="V56" s="319">
        <f t="shared" si="17"/>
        <v>1</v>
      </c>
      <c r="W56" s="319" t="str">
        <f t="shared" si="18"/>
        <v/>
      </c>
      <c r="X56" s="319" t="str">
        <f t="shared" si="19"/>
        <v/>
      </c>
      <c r="Y56" s="319">
        <f t="shared" si="20"/>
        <v>0</v>
      </c>
      <c r="AA56" s="355">
        <f t="shared" si="38"/>
        <v>0</v>
      </c>
    </row>
    <row r="57" spans="1:27" x14ac:dyDescent="0.2">
      <c r="A57" s="347">
        <f>RANK($K57,$K$14:$K$63)+COUNTIF(K$14:K57,K57)-1</f>
        <v>44</v>
      </c>
      <c r="B57" s="354"/>
      <c r="C57" s="335"/>
      <c r="D57" s="336"/>
      <c r="E57" s="337"/>
      <c r="F57" s="320" t="str">
        <f t="shared" si="26"/>
        <v/>
      </c>
      <c r="G57" s="319">
        <f>COUNTIF(E$14:E57,E57)</f>
        <v>0</v>
      </c>
      <c r="H57" s="319">
        <f t="shared" si="27"/>
        <v>1</v>
      </c>
      <c r="I57" s="319" t="str">
        <f t="shared" si="28"/>
        <v/>
      </c>
      <c r="J57" s="319" t="str">
        <f t="shared" si="29"/>
        <v/>
      </c>
      <c r="K57" s="319">
        <f t="shared" si="30"/>
        <v>0</v>
      </c>
      <c r="M57" s="355">
        <f t="shared" si="31"/>
        <v>0</v>
      </c>
      <c r="O57" s="319">
        <f>RANK($Y57,$Y$14:$Y$63)+COUNTIF(Y$14:Y57,Y57)-1</f>
        <v>44</v>
      </c>
      <c r="P57" s="351"/>
      <c r="Q57" s="335"/>
      <c r="R57" s="336"/>
      <c r="S57" s="337"/>
      <c r="T57" s="320" t="str">
        <f t="shared" si="16"/>
        <v/>
      </c>
      <c r="U57" s="319">
        <f>COUNTIF(S$14:S57,S57)</f>
        <v>0</v>
      </c>
      <c r="V57" s="319">
        <f t="shared" si="17"/>
        <v>1</v>
      </c>
      <c r="W57" s="319" t="str">
        <f t="shared" si="18"/>
        <v/>
      </c>
      <c r="X57" s="319" t="str">
        <f t="shared" si="19"/>
        <v/>
      </c>
      <c r="Y57" s="319">
        <f t="shared" si="20"/>
        <v>0</v>
      </c>
      <c r="AA57" s="355">
        <f t="shared" si="38"/>
        <v>0</v>
      </c>
    </row>
    <row r="58" spans="1:27" x14ac:dyDescent="0.2">
      <c r="A58" s="347">
        <f>RANK($K58,$K$14:$K$63)+COUNTIF(K$14:K58,K58)-1</f>
        <v>45</v>
      </c>
      <c r="B58" s="354"/>
      <c r="C58" s="335"/>
      <c r="D58" s="336"/>
      <c r="E58" s="337"/>
      <c r="F58" s="320" t="str">
        <f t="shared" si="26"/>
        <v/>
      </c>
      <c r="G58" s="319">
        <f>COUNTIF(E$14:E58,E58)</f>
        <v>0</v>
      </c>
      <c r="H58" s="319">
        <f t="shared" si="27"/>
        <v>1</v>
      </c>
      <c r="I58" s="319" t="str">
        <f t="shared" si="28"/>
        <v/>
      </c>
      <c r="J58" s="319" t="str">
        <f t="shared" si="29"/>
        <v/>
      </c>
      <c r="K58" s="319">
        <f t="shared" si="30"/>
        <v>0</v>
      </c>
      <c r="M58" s="355">
        <f t="shared" si="31"/>
        <v>0</v>
      </c>
      <c r="O58" s="319">
        <f>RANK($Y58,$Y$14:$Y$63)+COUNTIF(Y$14:Y58,Y58)-1</f>
        <v>45</v>
      </c>
      <c r="P58" s="351"/>
      <c r="Q58" s="335"/>
      <c r="R58" s="336"/>
      <c r="S58" s="337"/>
      <c r="T58" s="320" t="str">
        <f t="shared" si="16"/>
        <v/>
      </c>
      <c r="U58" s="319">
        <f>COUNTIF(S$14:S58,S58)</f>
        <v>0</v>
      </c>
      <c r="V58" s="319">
        <f t="shared" si="17"/>
        <v>1</v>
      </c>
      <c r="W58" s="319" t="str">
        <f t="shared" si="18"/>
        <v/>
      </c>
      <c r="X58" s="319" t="str">
        <f t="shared" si="19"/>
        <v/>
      </c>
      <c r="Y58" s="319">
        <f t="shared" si="20"/>
        <v>0</v>
      </c>
      <c r="AA58" s="355">
        <f t="shared" si="38"/>
        <v>0</v>
      </c>
    </row>
    <row r="59" spans="1:27" x14ac:dyDescent="0.2">
      <c r="A59" s="347">
        <f>RANK($K59,$K$14:$K$63)+COUNTIF(K$14:K59,K59)-1</f>
        <v>46</v>
      </c>
      <c r="B59" s="354"/>
      <c r="C59" s="335"/>
      <c r="D59" s="336"/>
      <c r="E59" s="337"/>
      <c r="F59" s="320" t="str">
        <f t="shared" si="26"/>
        <v/>
      </c>
      <c r="G59" s="319">
        <f>COUNTIF(E$14:E59,E59)</f>
        <v>0</v>
      </c>
      <c r="H59" s="319">
        <f t="shared" si="27"/>
        <v>1</v>
      </c>
      <c r="I59" s="319" t="str">
        <f t="shared" si="28"/>
        <v/>
      </c>
      <c r="J59" s="319" t="str">
        <f t="shared" si="29"/>
        <v/>
      </c>
      <c r="K59" s="319">
        <f t="shared" si="30"/>
        <v>0</v>
      </c>
      <c r="M59" s="355">
        <f t="shared" si="31"/>
        <v>0</v>
      </c>
      <c r="O59" s="319">
        <f>RANK($Y59,$Y$14:$Y$63)+COUNTIF(Y$14:Y59,Y59)-1</f>
        <v>46</v>
      </c>
      <c r="P59" s="351"/>
      <c r="Q59" s="335"/>
      <c r="R59" s="336"/>
      <c r="S59" s="337"/>
      <c r="T59" s="320" t="str">
        <f t="shared" si="16"/>
        <v/>
      </c>
      <c r="U59" s="319">
        <f>COUNTIF(S$14:S59,S59)</f>
        <v>0</v>
      </c>
      <c r="V59" s="319">
        <f t="shared" si="17"/>
        <v>1</v>
      </c>
      <c r="W59" s="319" t="str">
        <f t="shared" si="18"/>
        <v/>
      </c>
      <c r="X59" s="319" t="str">
        <f t="shared" si="19"/>
        <v/>
      </c>
      <c r="Y59" s="319">
        <f t="shared" si="20"/>
        <v>0</v>
      </c>
      <c r="AA59" s="355">
        <f t="shared" si="38"/>
        <v>0</v>
      </c>
    </row>
    <row r="60" spans="1:27" x14ac:dyDescent="0.2">
      <c r="A60" s="347">
        <f>RANK($K60,$K$14:$K$63)+COUNTIF(K$14:K60,K60)-1</f>
        <v>47</v>
      </c>
      <c r="B60" s="354"/>
      <c r="C60" s="335"/>
      <c r="D60" s="336"/>
      <c r="E60" s="337"/>
      <c r="F60" s="320" t="str">
        <f t="shared" si="26"/>
        <v/>
      </c>
      <c r="G60" s="319">
        <f>COUNTIF(E$14:E60,E60)</f>
        <v>0</v>
      </c>
      <c r="H60" s="319">
        <f t="shared" si="27"/>
        <v>1</v>
      </c>
      <c r="I60" s="319" t="str">
        <f t="shared" si="28"/>
        <v/>
      </c>
      <c r="J60" s="319" t="str">
        <f t="shared" si="29"/>
        <v/>
      </c>
      <c r="K60" s="319">
        <f t="shared" si="30"/>
        <v>0</v>
      </c>
      <c r="M60" s="355">
        <f t="shared" si="31"/>
        <v>0</v>
      </c>
      <c r="O60" s="319">
        <f>RANK($Y60,$Y$14:$Y$63)+COUNTIF(Y$14:Y60,Y60)-1</f>
        <v>47</v>
      </c>
      <c r="P60" s="351"/>
      <c r="Q60" s="335"/>
      <c r="R60" s="336"/>
      <c r="S60" s="337"/>
      <c r="T60" s="320" t="str">
        <f t="shared" si="16"/>
        <v/>
      </c>
      <c r="U60" s="319">
        <f>COUNTIF(S$14:S60,S60)</f>
        <v>0</v>
      </c>
      <c r="V60" s="319">
        <f t="shared" si="17"/>
        <v>1</v>
      </c>
      <c r="W60" s="319" t="str">
        <f t="shared" si="18"/>
        <v/>
      </c>
      <c r="X60" s="319" t="str">
        <f t="shared" si="19"/>
        <v/>
      </c>
      <c r="Y60" s="319">
        <f t="shared" si="20"/>
        <v>0</v>
      </c>
      <c r="AA60" s="355">
        <f t="shared" si="38"/>
        <v>0</v>
      </c>
    </row>
    <row r="61" spans="1:27" x14ac:dyDescent="0.2">
      <c r="A61" s="347">
        <f>RANK($K61,$K$14:$K$63)+COUNTIF(K$14:K61,K61)-1</f>
        <v>48</v>
      </c>
      <c r="B61" s="354"/>
      <c r="C61" s="335"/>
      <c r="D61" s="336"/>
      <c r="E61" s="337"/>
      <c r="F61" s="320" t="str">
        <f t="shared" si="26"/>
        <v/>
      </c>
      <c r="G61" s="319">
        <f>COUNTIF(E$14:E61,E61)</f>
        <v>0</v>
      </c>
      <c r="H61" s="319">
        <f t="shared" si="27"/>
        <v>1</v>
      </c>
      <c r="I61" s="319" t="str">
        <f t="shared" si="28"/>
        <v/>
      </c>
      <c r="J61" s="319" t="str">
        <f t="shared" si="29"/>
        <v/>
      </c>
      <c r="K61" s="319">
        <f t="shared" si="30"/>
        <v>0</v>
      </c>
      <c r="M61" s="355">
        <f t="shared" si="31"/>
        <v>0</v>
      </c>
      <c r="O61" s="319">
        <f>RANK($Y61,$Y$14:$Y$63)+COUNTIF(Y$14:Y61,Y61)-1</f>
        <v>48</v>
      </c>
      <c r="P61" s="351"/>
      <c r="Q61" s="335"/>
      <c r="R61" s="336"/>
      <c r="S61" s="337"/>
      <c r="T61" s="320" t="str">
        <f t="shared" si="16"/>
        <v/>
      </c>
      <c r="U61" s="319">
        <f>COUNTIF(S$14:S61,S61)</f>
        <v>0</v>
      </c>
      <c r="V61" s="319">
        <f t="shared" si="17"/>
        <v>1</v>
      </c>
      <c r="W61" s="319" t="str">
        <f t="shared" si="18"/>
        <v/>
      </c>
      <c r="X61" s="319" t="str">
        <f t="shared" si="19"/>
        <v/>
      </c>
      <c r="Y61" s="319">
        <f t="shared" si="20"/>
        <v>0</v>
      </c>
      <c r="AA61" s="355">
        <f t="shared" si="38"/>
        <v>0</v>
      </c>
    </row>
    <row r="62" spans="1:27" ht="16.5" customHeight="1" x14ac:dyDescent="0.2">
      <c r="A62" s="347">
        <f>RANK($K62,$K$14:$K$63)+COUNTIF(K$14:K62,K62)-1</f>
        <v>49</v>
      </c>
      <c r="B62" s="354"/>
      <c r="C62" s="335"/>
      <c r="D62" s="336"/>
      <c r="E62" s="337"/>
      <c r="F62" s="320" t="str">
        <f t="shared" si="26"/>
        <v/>
      </c>
      <c r="G62" s="319">
        <f>COUNTIF(E$14:E62,E62)</f>
        <v>0</v>
      </c>
      <c r="H62" s="319">
        <f t="shared" si="27"/>
        <v>1</v>
      </c>
      <c r="I62" s="319" t="str">
        <f t="shared" si="28"/>
        <v/>
      </c>
      <c r="J62" s="319" t="str">
        <f t="shared" si="29"/>
        <v/>
      </c>
      <c r="K62" s="319">
        <f t="shared" si="30"/>
        <v>0</v>
      </c>
      <c r="M62" s="355">
        <f t="shared" si="31"/>
        <v>0</v>
      </c>
      <c r="O62" s="319">
        <f>RANK($Y62,$Y$14:$Y$63)+COUNTIF(Y$14:Y62,Y62)-1</f>
        <v>49</v>
      </c>
      <c r="P62" s="351"/>
      <c r="Q62" s="335"/>
      <c r="R62" s="336"/>
      <c r="S62" s="337"/>
      <c r="T62" s="320" t="str">
        <f t="shared" si="16"/>
        <v/>
      </c>
      <c r="U62" s="319">
        <f>COUNTIF(S$14:S62,S62)</f>
        <v>0</v>
      </c>
      <c r="V62" s="319">
        <f t="shared" si="17"/>
        <v>1</v>
      </c>
      <c r="W62" s="319" t="str">
        <f t="shared" si="18"/>
        <v/>
      </c>
      <c r="X62" s="319" t="str">
        <f t="shared" si="19"/>
        <v/>
      </c>
      <c r="Y62" s="319">
        <f t="shared" si="20"/>
        <v>0</v>
      </c>
      <c r="AA62" s="355">
        <f t="shared" si="38"/>
        <v>0</v>
      </c>
    </row>
    <row r="63" spans="1:27" x14ac:dyDescent="0.2">
      <c r="A63" s="348">
        <f>RANK($K63,$K$14:$K$63)+COUNTIF(K$14:K63,K63)-1</f>
        <v>50</v>
      </c>
      <c r="B63" s="354"/>
      <c r="C63" s="335"/>
      <c r="D63" s="336"/>
      <c r="E63" s="337"/>
      <c r="F63" s="320" t="str">
        <f t="shared" si="26"/>
        <v/>
      </c>
      <c r="G63" s="319">
        <f>COUNTIF(E$14:E63,E63)</f>
        <v>0</v>
      </c>
      <c r="H63" s="319">
        <f t="shared" si="27"/>
        <v>1</v>
      </c>
      <c r="I63" s="319" t="str">
        <f t="shared" si="28"/>
        <v/>
      </c>
      <c r="J63" s="319" t="str">
        <f t="shared" si="29"/>
        <v/>
      </c>
      <c r="K63" s="319">
        <f t="shared" si="30"/>
        <v>0</v>
      </c>
      <c r="M63" s="355">
        <f t="shared" si="31"/>
        <v>0</v>
      </c>
      <c r="O63" s="319">
        <f>RANK($Y63,$Y$14:$Y$63)+COUNTIF(Y$14:Y63,Y63)-1</f>
        <v>50</v>
      </c>
      <c r="P63" s="352"/>
      <c r="Q63" s="338"/>
      <c r="R63" s="339"/>
      <c r="S63" s="340"/>
      <c r="T63" s="320" t="str">
        <f t="shared" si="16"/>
        <v/>
      </c>
      <c r="U63" s="319">
        <f>COUNTIF(S$14:S63,S63)</f>
        <v>0</v>
      </c>
      <c r="V63" s="319">
        <f t="shared" si="17"/>
        <v>1</v>
      </c>
      <c r="W63" s="319" t="str">
        <f t="shared" si="18"/>
        <v/>
      </c>
      <c r="X63" s="319" t="str">
        <f t="shared" si="19"/>
        <v/>
      </c>
      <c r="Y63" s="319">
        <f t="shared" si="20"/>
        <v>0</v>
      </c>
      <c r="AA63" s="355">
        <f t="shared" si="38"/>
        <v>0</v>
      </c>
    </row>
    <row r="64" spans="1:27" x14ac:dyDescent="0.2">
      <c r="B64" s="322"/>
      <c r="C64" s="323"/>
      <c r="D64" s="322"/>
      <c r="E64" s="320"/>
      <c r="F64" s="320"/>
      <c r="G64" s="319"/>
      <c r="P64" s="322"/>
      <c r="Q64" s="323"/>
      <c r="R64" s="322"/>
      <c r="S64" s="320"/>
      <c r="T64" s="320"/>
      <c r="U64" s="319"/>
      <c r="V64" s="319"/>
      <c r="W64" s="319"/>
      <c r="X64" s="319"/>
      <c r="Y64" s="319"/>
    </row>
    <row r="65" spans="2:26" x14ac:dyDescent="0.2">
      <c r="B65" s="322"/>
      <c r="C65" s="323"/>
      <c r="D65" s="322"/>
      <c r="E65" s="320"/>
      <c r="F65" s="317" t="s">
        <v>332</v>
      </c>
      <c r="G65" s="317"/>
      <c r="L65" s="319"/>
      <c r="P65" s="322"/>
      <c r="Q65" s="323"/>
      <c r="R65" s="322"/>
      <c r="S65" s="320"/>
      <c r="V65" s="319"/>
      <c r="W65" s="319"/>
      <c r="X65" s="319"/>
      <c r="Y65" s="319"/>
      <c r="Z65" s="319"/>
    </row>
    <row r="66" spans="2:26" ht="14.25" x14ac:dyDescent="0.2">
      <c r="B66" s="322"/>
      <c r="C66" s="323"/>
      <c r="D66" s="322"/>
      <c r="E66" s="320"/>
      <c r="F66" s="326" t="s">
        <v>330</v>
      </c>
      <c r="G66" s="326" t="s">
        <v>24</v>
      </c>
      <c r="H66" s="326" t="s">
        <v>9</v>
      </c>
      <c r="I66" s="318"/>
      <c r="K66" s="317"/>
      <c r="L66" s="319"/>
      <c r="P66" s="322"/>
      <c r="Q66" s="323"/>
      <c r="R66" s="322"/>
      <c r="S66" s="320"/>
      <c r="T66" s="326" t="s">
        <v>330</v>
      </c>
      <c r="U66" s="326" t="s">
        <v>24</v>
      </c>
      <c r="V66" s="326" t="s">
        <v>9</v>
      </c>
      <c r="W66" s="318"/>
      <c r="X66" s="319"/>
      <c r="Y66" s="319"/>
    </row>
    <row r="67" spans="2:26" x14ac:dyDescent="0.2">
      <c r="B67" s="322"/>
      <c r="C67" s="323"/>
      <c r="D67" s="322"/>
      <c r="E67" s="320"/>
      <c r="F67" s="327" t="str">
        <f t="shared" ref="F67:F86" si="39">IF(L67&lt;= Individ_Awards,UPPER(IF(VLOOKUP($J67,$A$14:$K$63,9,FALSE)=VLOOKUP($J67,$A$14:$K$63,11,FALSE),"∏"&amp;VLOOKUP($J67,$A$14:$K$63,9,FALSE)&amp;IF(VLOOKUP($J67,$A$14:$K$63,10,FALSE)&gt;=AttyCutoff,"/∆"&amp;VLOOKUP($J67,$A$14:$K$63,10,FALSE),""),"∆"&amp;VLOOKUP($J67,$A$14:$K$63,10,FALSE)&amp;IF(VLOOKUP($J67,$A$14:$K$63,9,FALSE)&gt;=AttyCutoff,"/∏"&amp;VLOOKUP($J67,$A$14:$K$63,9,FALSE),""))),"")</f>
        <v>∏0/∆0</v>
      </c>
      <c r="G67" s="329">
        <f t="shared" ref="G67:G86" si="40">IF(L67&lt;=Individ_Awards,VLOOKUP($J67,$A$14:$C$63,2,FALSE),"")</f>
        <v>1693</v>
      </c>
      <c r="H67" s="328" t="str">
        <f t="shared" ref="H67:H86" si="41">IF(L67&lt;=Individ_Awards,VLOOKUP($J67,$A$14:$K$63,5,FALSE),"")</f>
        <v>Kate Hayes Slattery</v>
      </c>
      <c r="I67" s="319" t="str">
        <f t="shared" ref="I67:I86" si="42">IF(L67&lt;=Individ_Awards, "Show", "Hide")</f>
        <v>Show</v>
      </c>
      <c r="J67" s="317">
        <v>1</v>
      </c>
      <c r="K67" s="317"/>
      <c r="L67" s="317">
        <f t="shared" ref="L67:L86" si="43">VLOOKUP(J67,$A$14:$H$63,8,FALSE)</f>
        <v>1</v>
      </c>
      <c r="P67" s="322"/>
      <c r="Q67" s="323"/>
      <c r="R67" s="322"/>
      <c r="S67" s="320"/>
      <c r="T67" s="327" t="str">
        <f t="shared" ref="T67:T86" si="44">IF(Y67&lt;= Individ_Awards,UPPER(IF(VLOOKUP($X67,$O$14:$Y$63,9,FALSE)=VLOOKUP($X67,$O$14:$Y$63,11,FALSE),"∏"&amp;VLOOKUP($X67,$O$14:$Y$63,9,FALSE)&amp;IF(VLOOKUP($X67,$O$14:$Y$63,10,FALSE)&gt;=AttyCutoff,"/∆"&amp;VLOOKUP($X67,$O$14:$Y$63,10,FALSE),""),"∆"&amp;VLOOKUP($X67,$O$14:$Y$63,10,FALSE)&amp;IF(VLOOKUP($X67,$O$14:$Y$63,9,FALSE)&gt;=AttyCutoff,"/∏"&amp;VLOOKUP($X67,$O$14:$Y$63,9,FALSE),""))),"")</f>
        <v>∏0/∆0</v>
      </c>
      <c r="U67" s="329">
        <f t="shared" ref="U67:U86" si="45">IF(Y67&lt;=Individ_Awards,VLOOKUP($X67,$O$14:$Q$63,2,FALSE),"")</f>
        <v>1268</v>
      </c>
      <c r="V67" s="328" t="str">
        <f t="shared" ref="V67:V86" si="46">IF(Y67&lt;=Individ_Awards,VLOOKUP($X67,$O$14:$Y$63,5,FALSE),"")</f>
        <v>Mashell Rahimzadeh</v>
      </c>
      <c r="W67" s="319" t="str">
        <f t="shared" ref="W67:W86" si="47">IF(Y67&lt;=Individ_Awards, "Show", "Hide")</f>
        <v>Show</v>
      </c>
      <c r="X67" s="317">
        <v>1</v>
      </c>
      <c r="Y67" s="317">
        <f>VLOOKUP(X67,$O$14:$V$63,8,FALSE)</f>
        <v>1</v>
      </c>
    </row>
    <row r="68" spans="2:26" x14ac:dyDescent="0.2">
      <c r="B68" s="322"/>
      <c r="C68" s="323"/>
      <c r="D68" s="322"/>
      <c r="E68" s="320"/>
      <c r="F68" s="327" t="str">
        <f t="shared" si="39"/>
        <v>∏0/∆0</v>
      </c>
      <c r="G68" s="329">
        <f t="shared" si="40"/>
        <v>1577</v>
      </c>
      <c r="H68" s="328" t="str">
        <f t="shared" si="41"/>
        <v>Sam Cross</v>
      </c>
      <c r="I68" s="319" t="str">
        <f t="shared" si="42"/>
        <v>Show</v>
      </c>
      <c r="J68" s="317">
        <v>2</v>
      </c>
      <c r="K68" s="317"/>
      <c r="L68" s="317">
        <f t="shared" si="43"/>
        <v>1</v>
      </c>
      <c r="P68" s="322"/>
      <c r="Q68" s="323"/>
      <c r="R68" s="322"/>
      <c r="S68" s="320"/>
      <c r="T68" s="327" t="str">
        <f t="shared" si="44"/>
        <v>∏0/∆0</v>
      </c>
      <c r="U68" s="329">
        <f t="shared" si="45"/>
        <v>1557</v>
      </c>
      <c r="V68" s="328" t="str">
        <f t="shared" si="46"/>
        <v>Adam Chase</v>
      </c>
      <c r="W68" s="319" t="str">
        <f t="shared" si="47"/>
        <v>Show</v>
      </c>
      <c r="X68" s="317">
        <v>2</v>
      </c>
      <c r="Y68" s="317">
        <f t="shared" ref="Y68:Y86" si="48">VLOOKUP(X68,$O$14:$V$63,8,FALSE)</f>
        <v>1</v>
      </c>
    </row>
    <row r="69" spans="2:26" x14ac:dyDescent="0.2">
      <c r="B69" s="322"/>
      <c r="C69" s="323"/>
      <c r="D69" s="322"/>
      <c r="E69" s="320"/>
      <c r="F69" s="327" t="str">
        <f t="shared" si="39"/>
        <v>∏0/∆0</v>
      </c>
      <c r="G69" s="329">
        <f t="shared" si="40"/>
        <v>1506</v>
      </c>
      <c r="H69" s="328" t="str">
        <f t="shared" si="41"/>
        <v>Claudia Isaac</v>
      </c>
      <c r="I69" s="319" t="str">
        <f t="shared" si="42"/>
        <v>Show</v>
      </c>
      <c r="J69" s="317">
        <v>3</v>
      </c>
      <c r="K69" s="317"/>
      <c r="L69" s="317">
        <f t="shared" si="43"/>
        <v>1</v>
      </c>
      <c r="P69" s="322"/>
      <c r="Q69" s="323"/>
      <c r="R69" s="322"/>
      <c r="S69" s="320"/>
      <c r="T69" s="327" t="str">
        <f t="shared" si="44"/>
        <v>∏0/∆0</v>
      </c>
      <c r="U69" s="329">
        <f t="shared" si="45"/>
        <v>1258</v>
      </c>
      <c r="V69" s="328" t="str">
        <f t="shared" si="46"/>
        <v>Gurbir Sinah</v>
      </c>
      <c r="W69" s="319" t="str">
        <f t="shared" si="47"/>
        <v>Show</v>
      </c>
      <c r="X69" s="317">
        <v>3</v>
      </c>
      <c r="Y69" s="317">
        <f t="shared" si="48"/>
        <v>1</v>
      </c>
    </row>
    <row r="70" spans="2:26" x14ac:dyDescent="0.2">
      <c r="B70" s="322"/>
      <c r="C70" s="323"/>
      <c r="D70" s="322"/>
      <c r="E70" s="320"/>
      <c r="F70" s="327" t="str">
        <f t="shared" si="39"/>
        <v>∏0/∆0</v>
      </c>
      <c r="G70" s="329">
        <f t="shared" si="40"/>
        <v>1577</v>
      </c>
      <c r="H70" s="328" t="str">
        <f t="shared" si="41"/>
        <v>Allie Miller</v>
      </c>
      <c r="I70" s="319" t="str">
        <f t="shared" si="42"/>
        <v>Show</v>
      </c>
      <c r="J70" s="317">
        <v>4</v>
      </c>
      <c r="K70" s="317"/>
      <c r="L70" s="317">
        <f t="shared" si="43"/>
        <v>1</v>
      </c>
      <c r="P70" s="322"/>
      <c r="Q70" s="323"/>
      <c r="R70" s="322"/>
      <c r="S70" s="320"/>
      <c r="T70" s="327" t="str">
        <f t="shared" si="44"/>
        <v>∏0/∆0</v>
      </c>
      <c r="U70" s="329">
        <f t="shared" si="45"/>
        <v>1577</v>
      </c>
      <c r="V70" s="328" t="str">
        <f t="shared" si="46"/>
        <v>Kai Nugent</v>
      </c>
      <c r="W70" s="319" t="str">
        <f t="shared" si="47"/>
        <v>Show</v>
      </c>
      <c r="X70" s="317">
        <v>4</v>
      </c>
      <c r="Y70" s="317">
        <f t="shared" si="48"/>
        <v>1</v>
      </c>
    </row>
    <row r="71" spans="2:26" x14ac:dyDescent="0.2">
      <c r="B71" s="322"/>
      <c r="C71" s="323"/>
      <c r="D71" s="322"/>
      <c r="E71" s="320"/>
      <c r="F71" s="327" t="str">
        <f t="shared" si="39"/>
        <v>∏0/∆0</v>
      </c>
      <c r="G71" s="329">
        <f t="shared" si="40"/>
        <v>1557</v>
      </c>
      <c r="H71" s="328" t="str">
        <f t="shared" si="41"/>
        <v>Christian Navarrete</v>
      </c>
      <c r="I71" s="319" t="str">
        <f t="shared" si="42"/>
        <v>Show</v>
      </c>
      <c r="J71" s="317">
        <v>5</v>
      </c>
      <c r="K71" s="317"/>
      <c r="L71" s="317">
        <f t="shared" si="43"/>
        <v>1</v>
      </c>
      <c r="P71" s="322"/>
      <c r="Q71" s="323"/>
      <c r="R71" s="322"/>
      <c r="S71" s="320"/>
      <c r="T71" s="327" t="str">
        <f t="shared" si="44"/>
        <v>∏0/∆0</v>
      </c>
      <c r="U71" s="329">
        <f t="shared" si="45"/>
        <v>1492</v>
      </c>
      <c r="V71" s="328" t="str">
        <f t="shared" si="46"/>
        <v>Gabriel Marquez</v>
      </c>
      <c r="W71" s="319" t="str">
        <f t="shared" si="47"/>
        <v>Show</v>
      </c>
      <c r="X71" s="317">
        <v>5</v>
      </c>
      <c r="Y71" s="317">
        <f t="shared" si="48"/>
        <v>1</v>
      </c>
    </row>
    <row r="72" spans="2:26" x14ac:dyDescent="0.2">
      <c r="B72" s="322"/>
      <c r="C72" s="323"/>
      <c r="D72" s="322"/>
      <c r="E72" s="320"/>
      <c r="F72" s="327" t="str">
        <f t="shared" si="39"/>
        <v>∏0/∆0</v>
      </c>
      <c r="G72" s="329">
        <f t="shared" si="40"/>
        <v>1001</v>
      </c>
      <c r="H72" s="328" t="str">
        <f t="shared" si="41"/>
        <v>Sabrina Grandhi</v>
      </c>
      <c r="I72" s="319" t="str">
        <f t="shared" si="42"/>
        <v>Show</v>
      </c>
      <c r="J72" s="317">
        <v>6</v>
      </c>
      <c r="K72" s="317"/>
      <c r="L72" s="317">
        <f t="shared" si="43"/>
        <v>1</v>
      </c>
      <c r="P72" s="322"/>
      <c r="Q72" s="323"/>
      <c r="R72" s="322"/>
      <c r="S72" s="320"/>
      <c r="T72" s="327" t="str">
        <f t="shared" si="44"/>
        <v>∏0/∆0</v>
      </c>
      <c r="U72" s="329">
        <f t="shared" si="45"/>
        <v>1217</v>
      </c>
      <c r="V72" s="328" t="str">
        <f t="shared" si="46"/>
        <v>Karli Zubek</v>
      </c>
      <c r="W72" s="319" t="str">
        <f t="shared" si="47"/>
        <v>Show</v>
      </c>
      <c r="X72" s="317">
        <v>6</v>
      </c>
      <c r="Y72" s="317">
        <f t="shared" si="48"/>
        <v>1</v>
      </c>
    </row>
    <row r="73" spans="2:26" x14ac:dyDescent="0.2">
      <c r="B73" s="322"/>
      <c r="C73" s="323"/>
      <c r="D73" s="322"/>
      <c r="E73" s="320"/>
      <c r="F73" s="327" t="str">
        <f t="shared" si="39"/>
        <v>∏0/∆0</v>
      </c>
      <c r="G73" s="329">
        <f t="shared" si="40"/>
        <v>1577</v>
      </c>
      <c r="H73" s="328" t="str">
        <f t="shared" si="41"/>
        <v>Elizabeth Bays</v>
      </c>
      <c r="I73" s="319" t="str">
        <f t="shared" si="42"/>
        <v>Show</v>
      </c>
      <c r="J73" s="317">
        <v>7</v>
      </c>
      <c r="K73" s="317"/>
      <c r="L73" s="317">
        <f t="shared" si="43"/>
        <v>1</v>
      </c>
      <c r="P73" s="322"/>
      <c r="Q73" s="323"/>
      <c r="R73" s="322"/>
      <c r="S73" s="320"/>
      <c r="T73" s="327" t="str">
        <f t="shared" si="44"/>
        <v>∏0/∆0</v>
      </c>
      <c r="U73" s="329">
        <f t="shared" si="45"/>
        <v>1001</v>
      </c>
      <c r="V73" s="328" t="str">
        <f t="shared" si="46"/>
        <v>Natalia Heguaburo</v>
      </c>
      <c r="W73" s="319" t="str">
        <f t="shared" si="47"/>
        <v>Show</v>
      </c>
      <c r="X73" s="317">
        <v>7</v>
      </c>
      <c r="Y73" s="317">
        <f t="shared" si="48"/>
        <v>1</v>
      </c>
    </row>
    <row r="74" spans="2:26" x14ac:dyDescent="0.2">
      <c r="B74" s="322"/>
      <c r="C74" s="323"/>
      <c r="D74" s="322"/>
      <c r="E74" s="320"/>
      <c r="F74" s="327" t="str">
        <f t="shared" si="39"/>
        <v>∆/∏</v>
      </c>
      <c r="G74" s="329">
        <f t="shared" si="40"/>
        <v>0</v>
      </c>
      <c r="H74" s="328">
        <f t="shared" si="41"/>
        <v>0</v>
      </c>
      <c r="I74" s="319" t="str">
        <f t="shared" si="42"/>
        <v>Show</v>
      </c>
      <c r="J74" s="317">
        <v>8</v>
      </c>
      <c r="K74" s="317"/>
      <c r="L74" s="317">
        <f t="shared" si="43"/>
        <v>1</v>
      </c>
      <c r="P74" s="322"/>
      <c r="Q74" s="323"/>
      <c r="R74" s="322"/>
      <c r="S74" s="320"/>
      <c r="T74" s="327" t="str">
        <f t="shared" si="44"/>
        <v>∏0/∆0</v>
      </c>
      <c r="U74" s="329">
        <f t="shared" si="45"/>
        <v>1217</v>
      </c>
      <c r="V74" s="328" t="str">
        <f t="shared" si="46"/>
        <v>Simeon Lawrence</v>
      </c>
      <c r="W74" s="319" t="str">
        <f t="shared" si="47"/>
        <v>Show</v>
      </c>
      <c r="X74" s="317">
        <v>8</v>
      </c>
      <c r="Y74" s="317">
        <f t="shared" si="48"/>
        <v>1</v>
      </c>
    </row>
    <row r="75" spans="2:26" x14ac:dyDescent="0.2">
      <c r="B75" s="322"/>
      <c r="C75" s="323"/>
      <c r="D75" s="322"/>
      <c r="E75" s="320"/>
      <c r="F75" s="327" t="str">
        <f t="shared" si="39"/>
        <v>∆/∏</v>
      </c>
      <c r="G75" s="329">
        <f t="shared" si="40"/>
        <v>0</v>
      </c>
      <c r="H75" s="328">
        <f t="shared" si="41"/>
        <v>0</v>
      </c>
      <c r="I75" s="319" t="str">
        <f t="shared" si="42"/>
        <v>Show</v>
      </c>
      <c r="J75" s="317">
        <v>9</v>
      </c>
      <c r="K75" s="317"/>
      <c r="L75" s="317">
        <f t="shared" si="43"/>
        <v>1</v>
      </c>
      <c r="P75" s="322"/>
      <c r="Q75" s="323"/>
      <c r="R75" s="322"/>
      <c r="S75" s="320"/>
      <c r="T75" s="327" t="str">
        <f t="shared" si="44"/>
        <v>∏0/∆0</v>
      </c>
      <c r="U75" s="329">
        <f t="shared" si="45"/>
        <v>1616</v>
      </c>
      <c r="V75" s="328" t="str">
        <f t="shared" si="46"/>
        <v>Peter Bound</v>
      </c>
      <c r="W75" s="319" t="str">
        <f t="shared" si="47"/>
        <v>Show</v>
      </c>
      <c r="X75" s="317">
        <v>9</v>
      </c>
      <c r="Y75" s="317">
        <f t="shared" si="48"/>
        <v>1</v>
      </c>
    </row>
    <row r="76" spans="2:26" x14ac:dyDescent="0.2">
      <c r="B76" s="322"/>
      <c r="C76" s="323"/>
      <c r="D76" s="322"/>
      <c r="E76" s="320"/>
      <c r="F76" s="327" t="str">
        <f t="shared" si="39"/>
        <v>∆/∏</v>
      </c>
      <c r="G76" s="329">
        <f t="shared" si="40"/>
        <v>0</v>
      </c>
      <c r="H76" s="328">
        <f t="shared" si="41"/>
        <v>0</v>
      </c>
      <c r="I76" s="319" t="str">
        <f t="shared" si="42"/>
        <v>Show</v>
      </c>
      <c r="J76" s="317">
        <v>10</v>
      </c>
      <c r="K76" s="317"/>
      <c r="L76" s="317">
        <f t="shared" si="43"/>
        <v>1</v>
      </c>
      <c r="P76" s="322"/>
      <c r="Q76" s="323"/>
      <c r="R76" s="322"/>
      <c r="S76" s="320"/>
      <c r="T76" s="327" t="str">
        <f t="shared" si="44"/>
        <v>∏0/∆0</v>
      </c>
      <c r="U76" s="329">
        <f t="shared" si="45"/>
        <v>1410</v>
      </c>
      <c r="V76" s="328" t="str">
        <f t="shared" si="46"/>
        <v>Brooke Bowerman</v>
      </c>
      <c r="W76" s="319" t="str">
        <f t="shared" si="47"/>
        <v>Show</v>
      </c>
      <c r="X76" s="317">
        <v>10</v>
      </c>
      <c r="Y76" s="317">
        <f t="shared" si="48"/>
        <v>1</v>
      </c>
    </row>
    <row r="77" spans="2:26" x14ac:dyDescent="0.2">
      <c r="B77" s="322"/>
      <c r="C77" s="323"/>
      <c r="D77" s="322"/>
      <c r="E77" s="320"/>
      <c r="F77" s="327" t="str">
        <f t="shared" si="39"/>
        <v>∆/∏</v>
      </c>
      <c r="G77" s="329">
        <f t="shared" si="40"/>
        <v>0</v>
      </c>
      <c r="H77" s="328">
        <f t="shared" si="41"/>
        <v>0</v>
      </c>
      <c r="I77" s="319" t="str">
        <f t="shared" si="42"/>
        <v>Show</v>
      </c>
      <c r="J77" s="317">
        <v>11</v>
      </c>
      <c r="K77" s="317"/>
      <c r="L77" s="317">
        <f t="shared" si="43"/>
        <v>1</v>
      </c>
      <c r="P77" s="322"/>
      <c r="Q77" s="323"/>
      <c r="R77" s="322"/>
      <c r="S77" s="320"/>
      <c r="T77" s="327" t="str">
        <f t="shared" si="44"/>
        <v>∏0/∆0</v>
      </c>
      <c r="U77" s="329">
        <f t="shared" si="45"/>
        <v>1506</v>
      </c>
      <c r="V77" s="328" t="str">
        <f t="shared" si="46"/>
        <v>Papa Yaw Senchery</v>
      </c>
      <c r="W77" s="319" t="str">
        <f t="shared" si="47"/>
        <v>Show</v>
      </c>
      <c r="X77" s="317">
        <v>11</v>
      </c>
      <c r="Y77" s="317">
        <f t="shared" si="48"/>
        <v>1</v>
      </c>
    </row>
    <row r="78" spans="2:26" x14ac:dyDescent="0.2">
      <c r="B78" s="322"/>
      <c r="C78" s="323"/>
      <c r="D78" s="322"/>
      <c r="E78" s="320"/>
      <c r="F78" s="327" t="str">
        <f t="shared" si="39"/>
        <v>∆/∏</v>
      </c>
      <c r="G78" s="329">
        <f t="shared" si="40"/>
        <v>0</v>
      </c>
      <c r="H78" s="328">
        <f t="shared" si="41"/>
        <v>0</v>
      </c>
      <c r="I78" s="319" t="str">
        <f t="shared" si="42"/>
        <v>Show</v>
      </c>
      <c r="J78" s="317">
        <v>12</v>
      </c>
      <c r="K78" s="317"/>
      <c r="L78" s="317">
        <f t="shared" si="43"/>
        <v>1</v>
      </c>
      <c r="P78" s="322"/>
      <c r="Q78" s="323"/>
      <c r="R78" s="322"/>
      <c r="S78" s="320"/>
      <c r="T78" s="327" t="str">
        <f t="shared" si="44"/>
        <v>∆/∏</v>
      </c>
      <c r="U78" s="329">
        <f t="shared" si="45"/>
        <v>0</v>
      </c>
      <c r="V78" s="328">
        <f t="shared" si="46"/>
        <v>0</v>
      </c>
      <c r="W78" s="319" t="str">
        <f t="shared" si="47"/>
        <v>Show</v>
      </c>
      <c r="X78" s="317">
        <v>12</v>
      </c>
      <c r="Y78" s="317">
        <f t="shared" si="48"/>
        <v>1</v>
      </c>
    </row>
    <row r="79" spans="2:26" x14ac:dyDescent="0.2">
      <c r="B79" s="322"/>
      <c r="C79" s="323"/>
      <c r="D79" s="322"/>
      <c r="E79" s="320"/>
      <c r="F79" s="327" t="str">
        <f t="shared" si="39"/>
        <v>∆/∏</v>
      </c>
      <c r="G79" s="329">
        <f t="shared" si="40"/>
        <v>0</v>
      </c>
      <c r="H79" s="328">
        <f t="shared" si="41"/>
        <v>0</v>
      </c>
      <c r="I79" s="319" t="str">
        <f t="shared" si="42"/>
        <v>Show</v>
      </c>
      <c r="J79" s="317">
        <v>13</v>
      </c>
      <c r="K79" s="317"/>
      <c r="L79" s="317">
        <f t="shared" si="43"/>
        <v>1</v>
      </c>
      <c r="P79" s="322"/>
      <c r="Q79" s="323"/>
      <c r="R79" s="322"/>
      <c r="S79" s="320"/>
      <c r="T79" s="327" t="str">
        <f t="shared" si="44"/>
        <v>∆/∏</v>
      </c>
      <c r="U79" s="329">
        <f t="shared" si="45"/>
        <v>0</v>
      </c>
      <c r="V79" s="328">
        <f t="shared" si="46"/>
        <v>0</v>
      </c>
      <c r="W79" s="319" t="str">
        <f t="shared" si="47"/>
        <v>Show</v>
      </c>
      <c r="X79" s="317">
        <v>13</v>
      </c>
      <c r="Y79" s="317">
        <f t="shared" si="48"/>
        <v>1</v>
      </c>
    </row>
    <row r="80" spans="2:26" x14ac:dyDescent="0.2">
      <c r="B80" s="322"/>
      <c r="C80" s="323"/>
      <c r="D80" s="322"/>
      <c r="E80" s="320"/>
      <c r="F80" s="327" t="str">
        <f t="shared" si="39"/>
        <v>∆/∏</v>
      </c>
      <c r="G80" s="329">
        <f t="shared" si="40"/>
        <v>0</v>
      </c>
      <c r="H80" s="328">
        <f t="shared" si="41"/>
        <v>0</v>
      </c>
      <c r="I80" s="319" t="str">
        <f t="shared" si="42"/>
        <v>Show</v>
      </c>
      <c r="J80" s="317">
        <v>14</v>
      </c>
      <c r="K80" s="317"/>
      <c r="L80" s="317">
        <f t="shared" si="43"/>
        <v>1</v>
      </c>
      <c r="P80" s="322"/>
      <c r="Q80" s="323"/>
      <c r="R80" s="322"/>
      <c r="S80" s="320"/>
      <c r="T80" s="327" t="str">
        <f t="shared" si="44"/>
        <v>∆/∏</v>
      </c>
      <c r="U80" s="329">
        <f t="shared" si="45"/>
        <v>0</v>
      </c>
      <c r="V80" s="328">
        <f t="shared" si="46"/>
        <v>0</v>
      </c>
      <c r="W80" s="319" t="str">
        <f t="shared" si="47"/>
        <v>Show</v>
      </c>
      <c r="X80" s="317">
        <v>14</v>
      </c>
      <c r="Y80" s="317">
        <f t="shared" si="48"/>
        <v>1</v>
      </c>
    </row>
    <row r="81" spans="2:25" x14ac:dyDescent="0.2">
      <c r="B81" s="322"/>
      <c r="C81" s="323"/>
      <c r="D81" s="322"/>
      <c r="E81" s="320"/>
      <c r="F81" s="327" t="str">
        <f t="shared" si="39"/>
        <v>∆/∏</v>
      </c>
      <c r="G81" s="329">
        <f t="shared" si="40"/>
        <v>0</v>
      </c>
      <c r="H81" s="328">
        <f t="shared" si="41"/>
        <v>0</v>
      </c>
      <c r="I81" s="319" t="str">
        <f t="shared" si="42"/>
        <v>Show</v>
      </c>
      <c r="J81" s="317">
        <v>15</v>
      </c>
      <c r="K81" s="317"/>
      <c r="L81" s="317">
        <f t="shared" si="43"/>
        <v>1</v>
      </c>
      <c r="P81" s="322"/>
      <c r="Q81" s="323"/>
      <c r="R81" s="322"/>
      <c r="S81" s="320"/>
      <c r="T81" s="327" t="str">
        <f t="shared" si="44"/>
        <v>∆/∏</v>
      </c>
      <c r="U81" s="329">
        <f t="shared" si="45"/>
        <v>0</v>
      </c>
      <c r="V81" s="328">
        <f t="shared" si="46"/>
        <v>0</v>
      </c>
      <c r="W81" s="319" t="str">
        <f t="shared" si="47"/>
        <v>Show</v>
      </c>
      <c r="X81" s="317">
        <v>15</v>
      </c>
      <c r="Y81" s="317">
        <f t="shared" si="48"/>
        <v>1</v>
      </c>
    </row>
    <row r="82" spans="2:25" x14ac:dyDescent="0.2">
      <c r="B82" s="322"/>
      <c r="C82" s="323"/>
      <c r="D82" s="322"/>
      <c r="E82" s="320"/>
      <c r="F82" s="327" t="str">
        <f t="shared" si="39"/>
        <v>∆/∏</v>
      </c>
      <c r="G82" s="329">
        <f t="shared" si="40"/>
        <v>0</v>
      </c>
      <c r="H82" s="328">
        <f t="shared" si="41"/>
        <v>0</v>
      </c>
      <c r="I82" s="319" t="str">
        <f t="shared" si="42"/>
        <v>Show</v>
      </c>
      <c r="J82" s="317">
        <v>16</v>
      </c>
      <c r="K82" s="317"/>
      <c r="L82" s="317">
        <f t="shared" si="43"/>
        <v>1</v>
      </c>
      <c r="P82" s="322"/>
      <c r="Q82" s="323"/>
      <c r="R82" s="322"/>
      <c r="S82" s="320"/>
      <c r="T82" s="327" t="str">
        <f t="shared" si="44"/>
        <v>∆/∏</v>
      </c>
      <c r="U82" s="329">
        <f t="shared" si="45"/>
        <v>0</v>
      </c>
      <c r="V82" s="328">
        <f t="shared" si="46"/>
        <v>0</v>
      </c>
      <c r="W82" s="319" t="str">
        <f t="shared" si="47"/>
        <v>Show</v>
      </c>
      <c r="X82" s="317">
        <v>16</v>
      </c>
      <c r="Y82" s="317">
        <f t="shared" si="48"/>
        <v>1</v>
      </c>
    </row>
    <row r="83" spans="2:25" x14ac:dyDescent="0.2">
      <c r="B83" s="322"/>
      <c r="C83" s="323"/>
      <c r="D83" s="322"/>
      <c r="E83" s="320"/>
      <c r="F83" s="327" t="str">
        <f t="shared" si="39"/>
        <v>∆/∏</v>
      </c>
      <c r="G83" s="329">
        <f t="shared" si="40"/>
        <v>0</v>
      </c>
      <c r="H83" s="328">
        <f t="shared" si="41"/>
        <v>0</v>
      </c>
      <c r="I83" s="319" t="str">
        <f t="shared" si="42"/>
        <v>Show</v>
      </c>
      <c r="J83" s="317">
        <v>17</v>
      </c>
      <c r="K83" s="317"/>
      <c r="L83" s="317">
        <f t="shared" si="43"/>
        <v>1</v>
      </c>
      <c r="P83" s="322"/>
      <c r="Q83" s="323"/>
      <c r="R83" s="322"/>
      <c r="S83" s="320"/>
      <c r="T83" s="327" t="str">
        <f t="shared" si="44"/>
        <v>∆/∏</v>
      </c>
      <c r="U83" s="329">
        <f t="shared" si="45"/>
        <v>0</v>
      </c>
      <c r="V83" s="328">
        <f t="shared" si="46"/>
        <v>0</v>
      </c>
      <c r="W83" s="319" t="str">
        <f t="shared" si="47"/>
        <v>Show</v>
      </c>
      <c r="X83" s="317">
        <v>17</v>
      </c>
      <c r="Y83" s="317">
        <f t="shared" si="48"/>
        <v>1</v>
      </c>
    </row>
    <row r="84" spans="2:25" x14ac:dyDescent="0.2">
      <c r="B84" s="322"/>
      <c r="C84" s="323"/>
      <c r="D84" s="322"/>
      <c r="E84" s="320"/>
      <c r="F84" s="327" t="str">
        <f t="shared" si="39"/>
        <v>∆/∏</v>
      </c>
      <c r="G84" s="329">
        <f t="shared" si="40"/>
        <v>0</v>
      </c>
      <c r="H84" s="328">
        <f t="shared" si="41"/>
        <v>0</v>
      </c>
      <c r="I84" s="319" t="str">
        <f t="shared" si="42"/>
        <v>Show</v>
      </c>
      <c r="J84" s="317">
        <v>18</v>
      </c>
      <c r="K84" s="317"/>
      <c r="L84" s="317">
        <f t="shared" si="43"/>
        <v>1</v>
      </c>
      <c r="P84" s="322"/>
      <c r="Q84" s="323"/>
      <c r="R84" s="322"/>
      <c r="S84" s="320"/>
      <c r="T84" s="327" t="str">
        <f t="shared" si="44"/>
        <v>∆/∏</v>
      </c>
      <c r="U84" s="329">
        <f t="shared" si="45"/>
        <v>0</v>
      </c>
      <c r="V84" s="328">
        <f t="shared" si="46"/>
        <v>0</v>
      </c>
      <c r="W84" s="319" t="str">
        <f t="shared" si="47"/>
        <v>Show</v>
      </c>
      <c r="X84" s="317">
        <v>18</v>
      </c>
      <c r="Y84" s="317">
        <f t="shared" si="48"/>
        <v>1</v>
      </c>
    </row>
    <row r="85" spans="2:25" x14ac:dyDescent="0.2">
      <c r="B85" s="322"/>
      <c r="C85" s="323"/>
      <c r="D85" s="322"/>
      <c r="E85" s="320"/>
      <c r="F85" s="327" t="str">
        <f t="shared" si="39"/>
        <v>∆/∏</v>
      </c>
      <c r="G85" s="329">
        <f t="shared" si="40"/>
        <v>0</v>
      </c>
      <c r="H85" s="328">
        <f t="shared" si="41"/>
        <v>0</v>
      </c>
      <c r="I85" s="319" t="str">
        <f t="shared" si="42"/>
        <v>Show</v>
      </c>
      <c r="J85" s="317">
        <v>19</v>
      </c>
      <c r="K85" s="317"/>
      <c r="L85" s="317">
        <f t="shared" si="43"/>
        <v>1</v>
      </c>
      <c r="P85" s="322"/>
      <c r="Q85" s="323"/>
      <c r="R85" s="322"/>
      <c r="S85" s="320"/>
      <c r="T85" s="327" t="str">
        <f t="shared" si="44"/>
        <v>∆/∏</v>
      </c>
      <c r="U85" s="329">
        <f t="shared" si="45"/>
        <v>0</v>
      </c>
      <c r="V85" s="328">
        <f t="shared" si="46"/>
        <v>0</v>
      </c>
      <c r="W85" s="319" t="str">
        <f t="shared" si="47"/>
        <v>Show</v>
      </c>
      <c r="X85" s="317">
        <v>19</v>
      </c>
      <c r="Y85" s="317">
        <f t="shared" si="48"/>
        <v>1</v>
      </c>
    </row>
    <row r="86" spans="2:25" x14ac:dyDescent="0.2">
      <c r="B86" s="322"/>
      <c r="C86" s="323"/>
      <c r="D86" s="322"/>
      <c r="E86" s="320"/>
      <c r="F86" s="327" t="str">
        <f t="shared" si="39"/>
        <v>∆/∏</v>
      </c>
      <c r="G86" s="329">
        <f t="shared" si="40"/>
        <v>0</v>
      </c>
      <c r="H86" s="328">
        <f t="shared" si="41"/>
        <v>0</v>
      </c>
      <c r="I86" s="319" t="str">
        <f t="shared" si="42"/>
        <v>Show</v>
      </c>
      <c r="J86" s="317">
        <v>20</v>
      </c>
      <c r="K86" s="317"/>
      <c r="L86" s="317">
        <f t="shared" si="43"/>
        <v>1</v>
      </c>
      <c r="P86" s="322"/>
      <c r="Q86" s="323"/>
      <c r="R86" s="322"/>
      <c r="S86" s="320"/>
      <c r="T86" s="327" t="str">
        <f t="shared" si="44"/>
        <v>∆/∏</v>
      </c>
      <c r="U86" s="329">
        <f t="shared" si="45"/>
        <v>0</v>
      </c>
      <c r="V86" s="328">
        <f t="shared" si="46"/>
        <v>0</v>
      </c>
      <c r="W86" s="319" t="str">
        <f t="shared" si="47"/>
        <v>Show</v>
      </c>
      <c r="X86" s="317">
        <v>20</v>
      </c>
      <c r="Y86" s="317">
        <f t="shared" si="48"/>
        <v>1</v>
      </c>
    </row>
    <row r="87" spans="2:25" x14ac:dyDescent="0.2">
      <c r="B87" s="322"/>
      <c r="C87" s="323"/>
      <c r="D87" s="322"/>
      <c r="E87" s="320"/>
      <c r="F87" s="320"/>
      <c r="G87" s="319"/>
      <c r="O87" s="321"/>
      <c r="P87" s="321"/>
      <c r="Q87" s="321"/>
      <c r="R87" s="321"/>
    </row>
    <row r="88" spans="2:25" x14ac:dyDescent="0.2">
      <c r="B88" s="322"/>
      <c r="C88" s="323"/>
      <c r="D88" s="322"/>
      <c r="E88" s="320"/>
      <c r="F88" s="320"/>
      <c r="G88" s="319"/>
      <c r="O88" s="321"/>
      <c r="P88" s="321"/>
      <c r="Q88" s="321"/>
      <c r="R88" s="321"/>
    </row>
    <row r="89" spans="2:25" x14ac:dyDescent="0.2">
      <c r="B89" s="322"/>
      <c r="C89" s="323"/>
      <c r="D89" s="322"/>
      <c r="E89" s="320"/>
      <c r="F89" s="320"/>
      <c r="G89" s="319"/>
      <c r="O89" s="321"/>
      <c r="P89" s="321"/>
      <c r="Q89" s="321"/>
      <c r="R89" s="321"/>
    </row>
    <row r="90" spans="2:25" x14ac:dyDescent="0.2">
      <c r="B90" s="322"/>
      <c r="C90" s="323"/>
      <c r="D90" s="322"/>
      <c r="E90" s="320"/>
      <c r="F90" s="320"/>
      <c r="G90" s="319"/>
      <c r="O90" s="321"/>
      <c r="P90" s="321"/>
      <c r="Q90" s="321"/>
      <c r="R90" s="321"/>
    </row>
    <row r="91" spans="2:25" x14ac:dyDescent="0.2">
      <c r="B91" s="322"/>
      <c r="C91" s="323"/>
      <c r="D91" s="322"/>
      <c r="E91" s="320"/>
      <c r="F91" s="320"/>
      <c r="G91" s="319"/>
      <c r="O91" s="321"/>
      <c r="P91" s="321"/>
      <c r="Q91" s="321"/>
      <c r="R91" s="321"/>
    </row>
    <row r="92" spans="2:25" x14ac:dyDescent="0.2">
      <c r="B92" s="322"/>
      <c r="C92" s="323"/>
      <c r="D92" s="322"/>
      <c r="E92" s="320"/>
      <c r="F92" s="320"/>
      <c r="G92" s="319"/>
      <c r="O92" s="321"/>
      <c r="P92" s="321"/>
      <c r="Q92" s="321"/>
      <c r="R92" s="321"/>
    </row>
    <row r="93" spans="2:25" x14ac:dyDescent="0.2">
      <c r="B93" s="322"/>
      <c r="C93" s="323"/>
      <c r="D93" s="322"/>
      <c r="E93" s="320"/>
      <c r="F93" s="320"/>
      <c r="G93" s="319"/>
      <c r="O93" s="321"/>
      <c r="P93" s="321"/>
      <c r="Q93" s="321"/>
      <c r="R93" s="321"/>
    </row>
    <row r="94" spans="2:25" x14ac:dyDescent="0.2">
      <c r="B94" s="322"/>
      <c r="C94" s="323"/>
      <c r="D94" s="322"/>
      <c r="E94" s="320"/>
      <c r="F94" s="320"/>
      <c r="G94" s="319"/>
      <c r="O94" s="321"/>
      <c r="P94" s="321"/>
      <c r="Q94" s="321"/>
      <c r="R94" s="321"/>
    </row>
    <row r="95" spans="2:25" x14ac:dyDescent="0.2">
      <c r="B95" s="322"/>
      <c r="C95" s="323"/>
      <c r="D95" s="322"/>
      <c r="E95" s="320"/>
      <c r="F95" s="320"/>
      <c r="G95" s="319"/>
      <c r="O95" s="321"/>
      <c r="P95" s="321"/>
      <c r="Q95" s="321"/>
      <c r="R95" s="321"/>
    </row>
    <row r="96" spans="2:25" x14ac:dyDescent="0.2">
      <c r="B96" s="322"/>
      <c r="C96" s="323"/>
      <c r="D96" s="322"/>
      <c r="E96" s="320"/>
      <c r="F96" s="320"/>
      <c r="G96" s="319"/>
      <c r="O96" s="321"/>
      <c r="P96" s="321"/>
      <c r="Q96" s="321"/>
      <c r="R96" s="321"/>
    </row>
    <row r="97" spans="2:18" x14ac:dyDescent="0.2">
      <c r="B97" s="322"/>
      <c r="C97" s="323"/>
      <c r="D97" s="322"/>
      <c r="E97" s="320"/>
      <c r="F97" s="320"/>
      <c r="G97" s="319"/>
      <c r="O97" s="321"/>
      <c r="P97" s="321"/>
      <c r="Q97" s="321"/>
      <c r="R97" s="321"/>
    </row>
    <row r="98" spans="2:18" x14ac:dyDescent="0.2">
      <c r="B98" s="322"/>
      <c r="C98" s="323"/>
      <c r="D98" s="322"/>
      <c r="E98" s="320"/>
      <c r="F98" s="320"/>
      <c r="G98" s="319"/>
      <c r="O98" s="321"/>
      <c r="P98" s="321"/>
      <c r="Q98" s="321"/>
      <c r="R98" s="321"/>
    </row>
    <row r="99" spans="2:18" x14ac:dyDescent="0.2">
      <c r="B99" s="322"/>
      <c r="C99" s="323"/>
      <c r="D99" s="322"/>
      <c r="E99" s="320"/>
      <c r="F99" s="320"/>
      <c r="G99" s="319"/>
      <c r="O99" s="321"/>
      <c r="P99" s="321"/>
      <c r="Q99" s="321"/>
      <c r="R99" s="321"/>
    </row>
    <row r="100" spans="2:18" x14ac:dyDescent="0.2">
      <c r="B100" s="322"/>
      <c r="C100" s="323"/>
      <c r="D100" s="322"/>
      <c r="E100" s="320"/>
      <c r="F100" s="320"/>
      <c r="G100" s="319"/>
      <c r="O100" s="321"/>
      <c r="P100" s="321"/>
      <c r="Q100" s="321"/>
      <c r="R100" s="321"/>
    </row>
    <row r="101" spans="2:18" x14ac:dyDescent="0.2">
      <c r="B101" s="322"/>
      <c r="C101" s="323"/>
      <c r="D101" s="322"/>
      <c r="E101" s="320"/>
      <c r="F101" s="320"/>
      <c r="G101" s="319"/>
      <c r="O101" s="321"/>
      <c r="P101" s="321"/>
      <c r="Q101" s="321"/>
      <c r="R101" s="321"/>
    </row>
    <row r="102" spans="2:18" x14ac:dyDescent="0.2">
      <c r="B102" s="322"/>
      <c r="C102" s="323"/>
      <c r="D102" s="322"/>
      <c r="E102" s="320"/>
      <c r="F102" s="320"/>
      <c r="G102" s="319"/>
      <c r="O102" s="321"/>
      <c r="P102" s="321"/>
      <c r="Q102" s="321"/>
      <c r="R102" s="321"/>
    </row>
    <row r="103" spans="2:18" x14ac:dyDescent="0.2">
      <c r="B103" s="322"/>
      <c r="C103" s="323"/>
      <c r="D103" s="322"/>
      <c r="E103" s="320"/>
      <c r="F103" s="320"/>
      <c r="G103" s="319"/>
      <c r="O103" s="321"/>
      <c r="P103" s="321"/>
      <c r="Q103" s="321"/>
      <c r="R103" s="321"/>
    </row>
    <row r="104" spans="2:18" x14ac:dyDescent="0.2">
      <c r="B104" s="322"/>
      <c r="C104" s="323"/>
      <c r="D104" s="322"/>
      <c r="E104" s="320"/>
      <c r="F104" s="320"/>
      <c r="G104" s="319"/>
      <c r="O104" s="321"/>
      <c r="P104" s="321"/>
      <c r="Q104" s="321"/>
      <c r="R104" s="321"/>
    </row>
    <row r="105" spans="2:18" x14ac:dyDescent="0.2">
      <c r="B105" s="322"/>
      <c r="C105" s="323"/>
      <c r="D105" s="322"/>
      <c r="E105" s="320"/>
      <c r="F105" s="320"/>
      <c r="G105" s="319"/>
      <c r="O105" s="321"/>
      <c r="P105" s="321"/>
      <c r="Q105" s="321"/>
      <c r="R105" s="321"/>
    </row>
    <row r="106" spans="2:18" x14ac:dyDescent="0.2">
      <c r="B106" s="322"/>
      <c r="C106" s="323"/>
      <c r="D106" s="322"/>
      <c r="E106" s="320"/>
      <c r="F106" s="320"/>
      <c r="G106" s="319"/>
      <c r="O106" s="321"/>
      <c r="P106" s="321"/>
      <c r="Q106" s="321"/>
      <c r="R106" s="321"/>
    </row>
    <row r="107" spans="2:18" x14ac:dyDescent="0.2">
      <c r="B107" s="322"/>
      <c r="C107" s="323"/>
      <c r="D107" s="322"/>
      <c r="E107" s="320"/>
      <c r="F107" s="320"/>
      <c r="G107" s="319"/>
      <c r="O107" s="321"/>
      <c r="P107" s="321"/>
      <c r="Q107" s="321"/>
      <c r="R107" s="321"/>
    </row>
    <row r="108" spans="2:18" x14ac:dyDescent="0.2">
      <c r="B108" s="322"/>
      <c r="C108" s="323"/>
      <c r="D108" s="322"/>
      <c r="E108" s="320"/>
      <c r="F108" s="320"/>
      <c r="G108" s="319"/>
      <c r="O108" s="321"/>
      <c r="P108" s="321"/>
      <c r="Q108" s="321"/>
      <c r="R108" s="321"/>
    </row>
    <row r="109" spans="2:18" x14ac:dyDescent="0.2">
      <c r="B109" s="322"/>
      <c r="C109" s="323"/>
      <c r="D109" s="322"/>
      <c r="E109" s="320"/>
      <c r="F109" s="320"/>
      <c r="G109" s="319"/>
      <c r="O109" s="321"/>
      <c r="P109" s="321"/>
      <c r="Q109" s="321"/>
      <c r="R109" s="321"/>
    </row>
    <row r="110" spans="2:18" x14ac:dyDescent="0.2">
      <c r="B110" s="322"/>
      <c r="C110" s="323"/>
      <c r="D110" s="322"/>
      <c r="E110" s="320"/>
      <c r="F110" s="320"/>
      <c r="G110" s="319"/>
      <c r="O110" s="321"/>
      <c r="P110" s="321"/>
      <c r="Q110" s="321"/>
      <c r="R110" s="321"/>
    </row>
    <row r="111" spans="2:18" x14ac:dyDescent="0.2">
      <c r="B111" s="322"/>
      <c r="C111" s="323"/>
      <c r="D111" s="322"/>
      <c r="E111" s="320"/>
      <c r="F111" s="320"/>
      <c r="G111" s="319"/>
      <c r="O111" s="321"/>
      <c r="P111" s="321"/>
      <c r="Q111" s="321"/>
      <c r="R111" s="321"/>
    </row>
    <row r="112" spans="2:18" x14ac:dyDescent="0.2">
      <c r="B112" s="322"/>
      <c r="C112" s="323"/>
      <c r="D112" s="322"/>
      <c r="E112" s="320"/>
      <c r="F112" s="320"/>
      <c r="G112" s="319"/>
      <c r="O112" s="321"/>
      <c r="P112" s="321"/>
      <c r="Q112" s="321"/>
      <c r="R112" s="321"/>
    </row>
    <row r="113" spans="2:18" x14ac:dyDescent="0.2">
      <c r="B113" s="322"/>
      <c r="C113" s="323"/>
      <c r="D113" s="322"/>
      <c r="E113" s="320"/>
      <c r="F113" s="320"/>
      <c r="G113" s="319"/>
      <c r="O113" s="321"/>
      <c r="P113" s="321"/>
      <c r="Q113" s="321"/>
      <c r="R113" s="321"/>
    </row>
    <row r="114" spans="2:18" x14ac:dyDescent="0.2">
      <c r="B114" s="322"/>
      <c r="C114" s="323"/>
      <c r="D114" s="322"/>
      <c r="E114" s="320"/>
      <c r="F114" s="320"/>
      <c r="G114" s="319"/>
      <c r="O114" s="321"/>
      <c r="P114" s="321"/>
      <c r="Q114" s="321"/>
      <c r="R114" s="321"/>
    </row>
    <row r="115" spans="2:18" x14ac:dyDescent="0.2">
      <c r="B115" s="322"/>
      <c r="C115" s="323"/>
      <c r="D115" s="322"/>
      <c r="E115" s="320"/>
      <c r="F115" s="320"/>
      <c r="G115" s="319"/>
      <c r="O115" s="321"/>
      <c r="P115" s="321"/>
      <c r="Q115" s="321"/>
      <c r="R115" s="321"/>
    </row>
    <row r="116" spans="2:18" x14ac:dyDescent="0.2">
      <c r="B116" s="322"/>
      <c r="C116" s="323"/>
      <c r="D116" s="322"/>
      <c r="E116" s="320"/>
      <c r="F116" s="320"/>
      <c r="G116" s="319"/>
      <c r="O116" s="321"/>
      <c r="P116" s="321"/>
      <c r="Q116" s="321"/>
      <c r="R116" s="321"/>
    </row>
    <row r="117" spans="2:18" x14ac:dyDescent="0.2">
      <c r="B117" s="322"/>
      <c r="C117" s="323"/>
      <c r="D117" s="322"/>
      <c r="E117" s="320"/>
      <c r="F117" s="320"/>
      <c r="G117" s="319"/>
      <c r="O117" s="321"/>
      <c r="P117" s="321"/>
      <c r="Q117" s="321"/>
      <c r="R117" s="321"/>
    </row>
    <row r="118" spans="2:18" x14ac:dyDescent="0.2">
      <c r="B118" s="322"/>
      <c r="C118" s="323"/>
      <c r="D118" s="322"/>
      <c r="E118" s="320"/>
      <c r="F118" s="320"/>
      <c r="G118" s="319"/>
      <c r="O118" s="321"/>
      <c r="P118" s="321"/>
      <c r="Q118" s="321"/>
      <c r="R118" s="321"/>
    </row>
    <row r="119" spans="2:18" x14ac:dyDescent="0.2">
      <c r="B119" s="322"/>
      <c r="C119" s="323"/>
      <c r="D119" s="322"/>
      <c r="E119" s="320"/>
      <c r="F119" s="320"/>
      <c r="G119" s="319"/>
      <c r="O119" s="321"/>
      <c r="P119" s="321"/>
      <c r="Q119" s="321"/>
      <c r="R119" s="321"/>
    </row>
    <row r="120" spans="2:18" x14ac:dyDescent="0.2">
      <c r="B120" s="322"/>
      <c r="C120" s="323"/>
      <c r="D120" s="322"/>
      <c r="E120" s="320"/>
      <c r="F120" s="320"/>
      <c r="G120" s="319"/>
      <c r="O120" s="321"/>
      <c r="P120" s="321"/>
      <c r="Q120" s="321"/>
      <c r="R120" s="321"/>
    </row>
    <row r="121" spans="2:18" x14ac:dyDescent="0.2">
      <c r="B121" s="322"/>
      <c r="C121" s="323"/>
      <c r="D121" s="322"/>
      <c r="E121" s="320"/>
      <c r="F121" s="320"/>
      <c r="G121" s="319"/>
      <c r="O121" s="321"/>
      <c r="P121" s="321"/>
      <c r="Q121" s="321"/>
      <c r="R121" s="321"/>
    </row>
    <row r="122" spans="2:18" x14ac:dyDescent="0.2">
      <c r="B122" s="322"/>
      <c r="C122" s="323"/>
      <c r="D122" s="322"/>
      <c r="E122" s="320"/>
      <c r="F122" s="320"/>
      <c r="G122" s="319"/>
      <c r="O122" s="321"/>
      <c r="P122" s="321"/>
      <c r="Q122" s="321"/>
      <c r="R122" s="321"/>
    </row>
    <row r="123" spans="2:18" x14ac:dyDescent="0.2">
      <c r="B123" s="322"/>
      <c r="C123" s="323"/>
      <c r="D123" s="322"/>
      <c r="E123" s="320"/>
      <c r="F123" s="320"/>
      <c r="G123" s="319"/>
      <c r="O123" s="321"/>
      <c r="P123" s="321"/>
      <c r="Q123" s="321"/>
      <c r="R123" s="321"/>
    </row>
    <row r="124" spans="2:18" x14ac:dyDescent="0.2">
      <c r="B124" s="322"/>
      <c r="C124" s="323"/>
      <c r="D124" s="322"/>
      <c r="E124" s="320"/>
      <c r="F124" s="320"/>
      <c r="G124" s="319"/>
      <c r="O124" s="321"/>
      <c r="P124" s="321"/>
      <c r="Q124" s="321"/>
      <c r="R124" s="321"/>
    </row>
    <row r="125" spans="2:18" x14ac:dyDescent="0.2">
      <c r="B125" s="322"/>
      <c r="C125" s="323"/>
      <c r="D125" s="322"/>
      <c r="E125" s="320"/>
      <c r="F125" s="320"/>
      <c r="G125" s="319"/>
      <c r="O125" s="321"/>
      <c r="P125" s="321"/>
      <c r="Q125" s="321"/>
      <c r="R125" s="321"/>
    </row>
    <row r="126" spans="2:18" x14ac:dyDescent="0.2">
      <c r="B126" s="322"/>
      <c r="C126" s="323"/>
      <c r="D126" s="322"/>
      <c r="E126" s="320"/>
      <c r="F126" s="320"/>
      <c r="G126" s="319"/>
      <c r="O126" s="321"/>
      <c r="P126" s="321"/>
      <c r="Q126" s="321"/>
      <c r="R126" s="321"/>
    </row>
    <row r="127" spans="2:18" x14ac:dyDescent="0.2">
      <c r="B127" s="322"/>
      <c r="C127" s="323"/>
      <c r="D127" s="322"/>
      <c r="E127" s="320"/>
      <c r="F127" s="320"/>
      <c r="G127" s="319"/>
      <c r="O127" s="321"/>
      <c r="P127" s="321"/>
      <c r="Q127" s="321"/>
      <c r="R127" s="321"/>
    </row>
    <row r="128" spans="2:18" x14ac:dyDescent="0.2">
      <c r="B128" s="322"/>
      <c r="C128" s="323"/>
      <c r="D128" s="322"/>
      <c r="E128" s="320"/>
      <c r="F128" s="320"/>
      <c r="G128" s="319"/>
      <c r="O128" s="321"/>
      <c r="P128" s="321"/>
      <c r="Q128" s="321"/>
      <c r="R128" s="321"/>
    </row>
    <row r="129" spans="2:18" x14ac:dyDescent="0.2">
      <c r="B129" s="322"/>
      <c r="C129" s="323"/>
      <c r="D129" s="322"/>
      <c r="E129" s="320"/>
      <c r="F129" s="320"/>
      <c r="G129" s="319"/>
      <c r="O129" s="321"/>
      <c r="P129" s="321"/>
      <c r="Q129" s="321"/>
      <c r="R129" s="321"/>
    </row>
    <row r="130" spans="2:18" x14ac:dyDescent="0.2">
      <c r="B130" s="322"/>
      <c r="C130" s="323"/>
      <c r="D130" s="322"/>
      <c r="E130" s="320"/>
      <c r="F130" s="320"/>
      <c r="G130" s="319"/>
      <c r="O130" s="321"/>
      <c r="P130" s="321"/>
      <c r="Q130" s="321"/>
      <c r="R130" s="321"/>
    </row>
    <row r="131" spans="2:18" x14ac:dyDescent="0.2">
      <c r="B131" s="322"/>
      <c r="C131" s="323"/>
      <c r="D131" s="322"/>
      <c r="E131" s="320"/>
      <c r="F131" s="320"/>
      <c r="G131" s="319"/>
      <c r="O131" s="321"/>
      <c r="P131" s="321"/>
      <c r="Q131" s="321"/>
      <c r="R131" s="321"/>
    </row>
    <row r="132" spans="2:18" x14ac:dyDescent="0.2">
      <c r="B132" s="322"/>
      <c r="C132" s="323"/>
      <c r="D132" s="322"/>
      <c r="E132" s="320"/>
      <c r="F132" s="320"/>
      <c r="G132" s="319"/>
      <c r="O132" s="321"/>
      <c r="P132" s="321"/>
      <c r="Q132" s="321"/>
      <c r="R132" s="321"/>
    </row>
    <row r="133" spans="2:18" x14ac:dyDescent="0.2">
      <c r="B133" s="322"/>
      <c r="C133" s="323"/>
      <c r="D133" s="322"/>
      <c r="E133" s="320"/>
      <c r="F133" s="320"/>
      <c r="G133" s="319"/>
      <c r="O133" s="321"/>
      <c r="P133" s="321"/>
      <c r="Q133" s="321"/>
      <c r="R133" s="321"/>
    </row>
    <row r="134" spans="2:18" x14ac:dyDescent="0.2">
      <c r="B134" s="322"/>
      <c r="C134" s="323"/>
      <c r="D134" s="322"/>
      <c r="E134" s="320"/>
      <c r="F134" s="320"/>
      <c r="G134" s="319"/>
      <c r="O134" s="321"/>
      <c r="P134" s="321"/>
      <c r="Q134" s="321"/>
      <c r="R134" s="321"/>
    </row>
    <row r="135" spans="2:18" x14ac:dyDescent="0.2">
      <c r="B135" s="322"/>
      <c r="C135" s="323"/>
      <c r="D135" s="322"/>
      <c r="E135" s="320"/>
      <c r="F135" s="320"/>
      <c r="G135" s="319"/>
      <c r="O135" s="321"/>
      <c r="P135" s="321"/>
      <c r="Q135" s="321"/>
      <c r="R135" s="321"/>
    </row>
    <row r="136" spans="2:18" x14ac:dyDescent="0.2">
      <c r="B136" s="322"/>
      <c r="C136" s="323"/>
      <c r="D136" s="322"/>
      <c r="E136" s="320"/>
      <c r="F136" s="320"/>
      <c r="G136" s="319"/>
      <c r="O136" s="321"/>
      <c r="P136" s="321"/>
      <c r="Q136" s="321"/>
      <c r="R136" s="321"/>
    </row>
    <row r="137" spans="2:18" x14ac:dyDescent="0.2">
      <c r="B137" s="322"/>
      <c r="C137" s="323"/>
      <c r="D137" s="322"/>
      <c r="E137" s="320"/>
      <c r="F137" s="320"/>
      <c r="G137" s="319"/>
      <c r="O137" s="321"/>
      <c r="P137" s="321"/>
      <c r="Q137" s="321"/>
      <c r="R137" s="321"/>
    </row>
    <row r="138" spans="2:18" x14ac:dyDescent="0.2">
      <c r="B138" s="322"/>
      <c r="C138" s="323"/>
      <c r="D138" s="322"/>
      <c r="E138" s="320"/>
      <c r="F138" s="320"/>
      <c r="G138" s="319"/>
      <c r="O138" s="321"/>
      <c r="P138" s="321"/>
      <c r="Q138" s="321"/>
      <c r="R138" s="321"/>
    </row>
    <row r="139" spans="2:18" x14ac:dyDescent="0.2">
      <c r="B139" s="322"/>
      <c r="C139" s="323"/>
      <c r="D139" s="322"/>
      <c r="E139" s="320"/>
      <c r="F139" s="320"/>
      <c r="G139" s="319"/>
      <c r="O139" s="321"/>
      <c r="P139" s="321"/>
      <c r="Q139" s="321"/>
      <c r="R139" s="321"/>
    </row>
    <row r="140" spans="2:18" x14ac:dyDescent="0.2">
      <c r="B140" s="322"/>
      <c r="C140" s="323"/>
      <c r="D140" s="322"/>
      <c r="E140" s="320"/>
      <c r="F140" s="320"/>
      <c r="G140" s="319"/>
      <c r="O140" s="321"/>
      <c r="P140" s="321"/>
      <c r="Q140" s="321"/>
      <c r="R140" s="321"/>
    </row>
    <row r="141" spans="2:18" x14ac:dyDescent="0.2">
      <c r="B141" s="322"/>
      <c r="C141" s="323"/>
      <c r="D141" s="322"/>
      <c r="E141" s="320"/>
      <c r="F141" s="320"/>
      <c r="G141" s="319"/>
      <c r="O141" s="321"/>
      <c r="P141" s="321"/>
      <c r="Q141" s="321"/>
      <c r="R141" s="321"/>
    </row>
    <row r="142" spans="2:18" x14ac:dyDescent="0.2">
      <c r="B142" s="322"/>
      <c r="C142" s="323"/>
      <c r="D142" s="322"/>
      <c r="E142" s="320"/>
      <c r="F142" s="320"/>
      <c r="G142" s="319"/>
      <c r="O142" s="321"/>
      <c r="P142" s="321"/>
      <c r="Q142" s="321"/>
      <c r="R142" s="321"/>
    </row>
    <row r="143" spans="2:18" x14ac:dyDescent="0.2">
      <c r="B143" s="322"/>
      <c r="C143" s="323"/>
      <c r="D143" s="322"/>
      <c r="E143" s="320"/>
      <c r="F143" s="320"/>
      <c r="G143" s="319"/>
      <c r="O143" s="321"/>
      <c r="P143" s="321"/>
      <c r="Q143" s="321"/>
      <c r="R143" s="321"/>
    </row>
    <row r="144" spans="2:18" x14ac:dyDescent="0.2">
      <c r="B144" s="322"/>
      <c r="C144" s="323"/>
      <c r="D144" s="322"/>
      <c r="E144" s="320"/>
      <c r="F144" s="320"/>
      <c r="G144" s="319"/>
      <c r="O144" s="321"/>
      <c r="P144" s="321"/>
      <c r="Q144" s="321"/>
      <c r="R144" s="321"/>
    </row>
    <row r="145" spans="2:18" x14ac:dyDescent="0.2">
      <c r="B145" s="322"/>
      <c r="C145" s="323"/>
      <c r="D145" s="322"/>
      <c r="E145" s="320"/>
      <c r="F145" s="320"/>
      <c r="G145" s="319"/>
      <c r="O145" s="321"/>
      <c r="P145" s="321"/>
      <c r="Q145" s="321"/>
      <c r="R145" s="321"/>
    </row>
    <row r="146" spans="2:18" x14ac:dyDescent="0.2">
      <c r="B146" s="322"/>
      <c r="C146" s="323"/>
      <c r="D146" s="322"/>
      <c r="E146" s="320"/>
      <c r="F146" s="320"/>
      <c r="G146" s="319"/>
      <c r="O146" s="321"/>
      <c r="P146" s="321"/>
      <c r="Q146" s="321"/>
      <c r="R146" s="321"/>
    </row>
    <row r="147" spans="2:18" x14ac:dyDescent="0.2">
      <c r="B147" s="322"/>
      <c r="C147" s="323"/>
      <c r="D147" s="322"/>
      <c r="E147" s="320"/>
      <c r="F147" s="320"/>
      <c r="G147" s="319"/>
      <c r="O147" s="321"/>
      <c r="P147" s="321"/>
      <c r="Q147" s="321"/>
      <c r="R147" s="321"/>
    </row>
    <row r="148" spans="2:18" x14ac:dyDescent="0.2">
      <c r="B148" s="322"/>
      <c r="C148" s="323"/>
      <c r="D148" s="322"/>
      <c r="E148" s="320"/>
      <c r="F148" s="320"/>
      <c r="G148" s="319"/>
      <c r="O148" s="321"/>
      <c r="P148" s="321"/>
      <c r="Q148" s="321"/>
      <c r="R148" s="321"/>
    </row>
    <row r="149" spans="2:18" x14ac:dyDescent="0.2">
      <c r="B149" s="322"/>
      <c r="C149" s="323"/>
      <c r="D149" s="322"/>
      <c r="E149" s="320"/>
      <c r="F149" s="320"/>
      <c r="G149" s="319"/>
      <c r="O149" s="321"/>
      <c r="P149" s="321"/>
      <c r="Q149" s="321"/>
      <c r="R149" s="321"/>
    </row>
    <row r="150" spans="2:18" x14ac:dyDescent="0.2">
      <c r="B150" s="322"/>
      <c r="C150" s="323"/>
      <c r="D150" s="322"/>
      <c r="E150" s="320"/>
      <c r="F150" s="320"/>
      <c r="G150" s="319"/>
      <c r="O150" s="321"/>
      <c r="P150" s="321"/>
      <c r="Q150" s="321"/>
      <c r="R150" s="321"/>
    </row>
    <row r="151" spans="2:18" x14ac:dyDescent="0.2">
      <c r="B151" s="322"/>
      <c r="C151" s="323"/>
      <c r="D151" s="322"/>
      <c r="E151" s="320"/>
      <c r="F151" s="320"/>
      <c r="G151" s="319"/>
      <c r="O151" s="321"/>
      <c r="P151" s="321"/>
      <c r="Q151" s="321"/>
      <c r="R151" s="321"/>
    </row>
    <row r="152" spans="2:18" x14ac:dyDescent="0.2">
      <c r="B152" s="322"/>
      <c r="C152" s="323"/>
      <c r="D152" s="322"/>
      <c r="E152" s="320"/>
      <c r="F152" s="320"/>
      <c r="G152" s="319"/>
      <c r="O152" s="321"/>
      <c r="P152" s="321"/>
      <c r="Q152" s="321"/>
      <c r="R152" s="321"/>
    </row>
    <row r="153" spans="2:18" x14ac:dyDescent="0.2">
      <c r="B153" s="322"/>
      <c r="C153" s="323"/>
      <c r="D153" s="322"/>
      <c r="E153" s="320"/>
      <c r="F153" s="320"/>
      <c r="G153" s="319"/>
      <c r="O153" s="321"/>
      <c r="P153" s="321"/>
      <c r="Q153" s="321"/>
      <c r="R153" s="321"/>
    </row>
    <row r="154" spans="2:18" x14ac:dyDescent="0.2">
      <c r="B154" s="322"/>
      <c r="C154" s="323"/>
      <c r="D154" s="322"/>
      <c r="E154" s="320"/>
      <c r="F154" s="320"/>
      <c r="G154" s="319"/>
      <c r="O154" s="321"/>
      <c r="P154" s="321"/>
      <c r="Q154" s="321"/>
      <c r="R154" s="321"/>
    </row>
    <row r="155" spans="2:18" x14ac:dyDescent="0.2">
      <c r="B155" s="322"/>
      <c r="C155" s="323"/>
      <c r="D155" s="322"/>
      <c r="E155" s="320"/>
      <c r="F155" s="320"/>
      <c r="G155" s="319"/>
      <c r="O155" s="321"/>
      <c r="P155" s="321"/>
      <c r="Q155" s="321"/>
      <c r="R155" s="321"/>
    </row>
    <row r="156" spans="2:18" x14ac:dyDescent="0.2">
      <c r="B156" s="322"/>
      <c r="C156" s="323"/>
      <c r="D156" s="322"/>
      <c r="E156" s="320"/>
      <c r="F156" s="320"/>
      <c r="G156" s="319"/>
      <c r="O156" s="321"/>
      <c r="P156" s="321"/>
      <c r="Q156" s="321"/>
      <c r="R156" s="321"/>
    </row>
    <row r="157" spans="2:18" x14ac:dyDescent="0.2">
      <c r="B157" s="322"/>
      <c r="C157" s="323"/>
      <c r="D157" s="322"/>
      <c r="E157" s="320"/>
      <c r="F157" s="320"/>
      <c r="G157" s="319"/>
      <c r="O157" s="321"/>
      <c r="P157" s="321"/>
      <c r="Q157" s="321"/>
      <c r="R157" s="321"/>
    </row>
    <row r="158" spans="2:18" x14ac:dyDescent="0.2">
      <c r="B158" s="322"/>
      <c r="C158" s="323"/>
      <c r="D158" s="322"/>
      <c r="E158" s="320"/>
      <c r="F158" s="320"/>
      <c r="G158" s="319"/>
      <c r="O158" s="321"/>
      <c r="P158" s="321"/>
      <c r="Q158" s="321"/>
      <c r="R158" s="321"/>
    </row>
    <row r="159" spans="2:18" x14ac:dyDescent="0.2">
      <c r="B159" s="322"/>
      <c r="C159" s="323"/>
      <c r="D159" s="322"/>
      <c r="E159" s="320"/>
      <c r="F159" s="320"/>
      <c r="G159" s="319"/>
      <c r="O159" s="321"/>
      <c r="P159" s="321"/>
      <c r="Q159" s="321"/>
      <c r="R159" s="321"/>
    </row>
    <row r="160" spans="2:18" x14ac:dyDescent="0.2">
      <c r="B160" s="322"/>
      <c r="C160" s="323"/>
      <c r="D160" s="322"/>
      <c r="E160" s="320"/>
      <c r="F160" s="320"/>
      <c r="G160" s="319"/>
      <c r="O160" s="321"/>
      <c r="P160" s="321"/>
      <c r="Q160" s="321"/>
      <c r="R160" s="321"/>
    </row>
    <row r="161" spans="2:18" x14ac:dyDescent="0.2">
      <c r="B161" s="322"/>
      <c r="C161" s="323"/>
      <c r="D161" s="322"/>
      <c r="E161" s="320"/>
      <c r="F161" s="320"/>
      <c r="G161" s="319"/>
      <c r="O161" s="321"/>
      <c r="P161" s="321"/>
      <c r="Q161" s="321"/>
      <c r="R161" s="321"/>
    </row>
    <row r="162" spans="2:18" x14ac:dyDescent="0.2">
      <c r="B162" s="322"/>
      <c r="C162" s="323"/>
      <c r="D162" s="322"/>
      <c r="E162" s="320"/>
      <c r="F162" s="320"/>
      <c r="G162" s="319"/>
      <c r="O162" s="321"/>
      <c r="P162" s="321"/>
      <c r="Q162" s="321"/>
      <c r="R162" s="321"/>
    </row>
    <row r="163" spans="2:18" x14ac:dyDescent="0.2">
      <c r="B163" s="322"/>
      <c r="C163" s="323"/>
      <c r="D163" s="322"/>
      <c r="E163" s="320"/>
      <c r="F163" s="320"/>
      <c r="G163" s="319"/>
      <c r="O163" s="321"/>
      <c r="P163" s="321"/>
      <c r="Q163" s="321"/>
      <c r="R163" s="321"/>
    </row>
    <row r="164" spans="2:18" x14ac:dyDescent="0.2">
      <c r="G164" s="319"/>
    </row>
    <row r="165" spans="2:18" x14ac:dyDescent="0.2">
      <c r="G165" s="319"/>
    </row>
    <row r="166" spans="2:18" x14ac:dyDescent="0.2">
      <c r="G166" s="319"/>
    </row>
    <row r="167" spans="2:18" x14ac:dyDescent="0.2">
      <c r="G167" s="319"/>
    </row>
    <row r="168" spans="2:18" x14ac:dyDescent="0.2">
      <c r="G168" s="319"/>
    </row>
    <row r="169" spans="2:18" x14ac:dyDescent="0.2">
      <c r="G169" s="319"/>
    </row>
    <row r="170" spans="2:18" x14ac:dyDescent="0.2">
      <c r="G170" s="319"/>
    </row>
    <row r="171" spans="2:18" x14ac:dyDescent="0.2">
      <c r="G171" s="319"/>
    </row>
    <row r="172" spans="2:18" x14ac:dyDescent="0.2">
      <c r="G172" s="319"/>
    </row>
    <row r="173" spans="2:18" x14ac:dyDescent="0.2">
      <c r="G173" s="319"/>
    </row>
    <row r="174" spans="2:18" x14ac:dyDescent="0.2">
      <c r="G174" s="319"/>
    </row>
    <row r="175" spans="2:18" x14ac:dyDescent="0.2">
      <c r="G175" s="319"/>
    </row>
    <row r="176" spans="2:18" x14ac:dyDescent="0.2">
      <c r="G176" s="319"/>
    </row>
    <row r="177" spans="7:7" x14ac:dyDescent="0.2">
      <c r="G177" s="319"/>
    </row>
    <row r="178" spans="7:7" x14ac:dyDescent="0.2">
      <c r="G178" s="319"/>
    </row>
    <row r="179" spans="7:7" x14ac:dyDescent="0.2">
      <c r="G179" s="319"/>
    </row>
    <row r="180" spans="7:7" x14ac:dyDescent="0.2">
      <c r="G180" s="319"/>
    </row>
    <row r="181" spans="7:7" x14ac:dyDescent="0.2">
      <c r="G181" s="319"/>
    </row>
    <row r="182" spans="7:7" x14ac:dyDescent="0.2">
      <c r="G182" s="319"/>
    </row>
    <row r="183" spans="7:7" x14ac:dyDescent="0.2">
      <c r="G183" s="319"/>
    </row>
    <row r="184" spans="7:7" x14ac:dyDescent="0.2">
      <c r="G184" s="319"/>
    </row>
    <row r="185" spans="7:7" x14ac:dyDescent="0.2">
      <c r="G185" s="319"/>
    </row>
    <row r="186" spans="7:7" x14ac:dyDescent="0.2">
      <c r="G186" s="319"/>
    </row>
    <row r="187" spans="7:7" x14ac:dyDescent="0.2">
      <c r="G187" s="319"/>
    </row>
    <row r="188" spans="7:7" x14ac:dyDescent="0.2">
      <c r="G188" s="319"/>
    </row>
    <row r="189" spans="7:7" x14ac:dyDescent="0.2">
      <c r="G189" s="319"/>
    </row>
    <row r="190" spans="7:7" x14ac:dyDescent="0.2">
      <c r="G190" s="319"/>
    </row>
    <row r="191" spans="7:7" x14ac:dyDescent="0.2">
      <c r="G191" s="319"/>
    </row>
    <row r="192" spans="7:7" x14ac:dyDescent="0.2">
      <c r="G192" s="319"/>
    </row>
    <row r="193" spans="7:7" x14ac:dyDescent="0.2">
      <c r="G193" s="319"/>
    </row>
    <row r="194" spans="7:7" x14ac:dyDescent="0.2">
      <c r="G194" s="319"/>
    </row>
    <row r="195" spans="7:7" x14ac:dyDescent="0.2">
      <c r="G195" s="319"/>
    </row>
    <row r="196" spans="7:7" x14ac:dyDescent="0.2">
      <c r="G196" s="319"/>
    </row>
    <row r="197" spans="7:7" x14ac:dyDescent="0.2">
      <c r="G197" s="319"/>
    </row>
    <row r="198" spans="7:7" x14ac:dyDescent="0.2">
      <c r="G198" s="319"/>
    </row>
    <row r="199" spans="7:7" x14ac:dyDescent="0.2">
      <c r="G199" s="319"/>
    </row>
    <row r="200" spans="7:7" x14ac:dyDescent="0.2">
      <c r="G200" s="319"/>
    </row>
    <row r="201" spans="7:7" x14ac:dyDescent="0.2">
      <c r="G201" s="319"/>
    </row>
    <row r="202" spans="7:7" x14ac:dyDescent="0.2">
      <c r="G202" s="319"/>
    </row>
    <row r="203" spans="7:7" x14ac:dyDescent="0.2">
      <c r="G203" s="319"/>
    </row>
    <row r="204" spans="7:7" x14ac:dyDescent="0.2">
      <c r="G204" s="319"/>
    </row>
    <row r="205" spans="7:7" x14ac:dyDescent="0.2">
      <c r="G205" s="319"/>
    </row>
    <row r="206" spans="7:7" x14ac:dyDescent="0.2">
      <c r="G206" s="319"/>
    </row>
    <row r="207" spans="7:7" x14ac:dyDescent="0.2">
      <c r="G207" s="319"/>
    </row>
    <row r="208" spans="7:7" x14ac:dyDescent="0.2">
      <c r="G208" s="319"/>
    </row>
    <row r="209" spans="7:7" x14ac:dyDescent="0.2">
      <c r="G209" s="319"/>
    </row>
    <row r="210" spans="7:7" x14ac:dyDescent="0.2">
      <c r="G210" s="319"/>
    </row>
    <row r="211" spans="7:7" x14ac:dyDescent="0.2">
      <c r="G211" s="319"/>
    </row>
    <row r="212" spans="7:7" x14ac:dyDescent="0.2">
      <c r="G212" s="319"/>
    </row>
    <row r="213" spans="7:7" x14ac:dyDescent="0.2">
      <c r="G213" s="319"/>
    </row>
    <row r="214" spans="7:7" x14ac:dyDescent="0.2">
      <c r="G214" s="319"/>
    </row>
    <row r="215" spans="7:7" x14ac:dyDescent="0.2">
      <c r="G215" s="319"/>
    </row>
    <row r="216" spans="7:7" x14ac:dyDescent="0.2">
      <c r="G216" s="319"/>
    </row>
    <row r="217" spans="7:7" x14ac:dyDescent="0.2">
      <c r="G217" s="319"/>
    </row>
    <row r="218" spans="7:7" x14ac:dyDescent="0.2">
      <c r="G218" s="319"/>
    </row>
    <row r="219" spans="7:7" x14ac:dyDescent="0.2">
      <c r="G219" s="319"/>
    </row>
    <row r="220" spans="7:7" x14ac:dyDescent="0.2">
      <c r="G220" s="319"/>
    </row>
    <row r="221" spans="7:7" x14ac:dyDescent="0.2">
      <c r="G221" s="319"/>
    </row>
    <row r="222" spans="7:7" x14ac:dyDescent="0.2">
      <c r="G222" s="319"/>
    </row>
    <row r="223" spans="7:7" x14ac:dyDescent="0.2">
      <c r="G223" s="319"/>
    </row>
    <row r="224" spans="7:7" x14ac:dyDescent="0.2">
      <c r="G224" s="319"/>
    </row>
    <row r="225" spans="7:7" x14ac:dyDescent="0.2">
      <c r="G225" s="319"/>
    </row>
    <row r="226" spans="7:7" x14ac:dyDescent="0.2">
      <c r="G226" s="319"/>
    </row>
    <row r="227" spans="7:7" x14ac:dyDescent="0.2">
      <c r="G227" s="319"/>
    </row>
    <row r="228" spans="7:7" x14ac:dyDescent="0.2">
      <c r="G228" s="319"/>
    </row>
    <row r="229" spans="7:7" x14ac:dyDescent="0.2">
      <c r="G229" s="319"/>
    </row>
    <row r="230" spans="7:7" x14ac:dyDescent="0.2">
      <c r="G230" s="319"/>
    </row>
    <row r="231" spans="7:7" x14ac:dyDescent="0.2">
      <c r="G231" s="319"/>
    </row>
    <row r="232" spans="7:7" x14ac:dyDescent="0.2">
      <c r="G232" s="319"/>
    </row>
    <row r="233" spans="7:7" x14ac:dyDescent="0.2">
      <c r="G233" s="319"/>
    </row>
    <row r="234" spans="7:7" x14ac:dyDescent="0.2">
      <c r="G234" s="319"/>
    </row>
    <row r="235" spans="7:7" x14ac:dyDescent="0.2">
      <c r="G235" s="319"/>
    </row>
    <row r="236" spans="7:7" x14ac:dyDescent="0.2">
      <c r="G236" s="319"/>
    </row>
    <row r="237" spans="7:7" x14ac:dyDescent="0.2">
      <c r="G237" s="319"/>
    </row>
    <row r="238" spans="7:7" x14ac:dyDescent="0.2">
      <c r="G238" s="319"/>
    </row>
    <row r="239" spans="7:7" x14ac:dyDescent="0.2">
      <c r="G239" s="319"/>
    </row>
    <row r="240" spans="7:7" x14ac:dyDescent="0.2">
      <c r="G240" s="319"/>
    </row>
    <row r="241" spans="7:7" x14ac:dyDescent="0.2">
      <c r="G241" s="319"/>
    </row>
    <row r="242" spans="7:7" x14ac:dyDescent="0.2">
      <c r="G242" s="319"/>
    </row>
    <row r="243" spans="7:7" x14ac:dyDescent="0.2">
      <c r="G243" s="319"/>
    </row>
    <row r="244" spans="7:7" x14ac:dyDescent="0.2">
      <c r="G244" s="319"/>
    </row>
    <row r="245" spans="7:7" x14ac:dyDescent="0.2">
      <c r="G245" s="319"/>
    </row>
    <row r="246" spans="7:7" x14ac:dyDescent="0.2">
      <c r="G246" s="319"/>
    </row>
    <row r="247" spans="7:7" x14ac:dyDescent="0.2">
      <c r="G247" s="319"/>
    </row>
    <row r="248" spans="7:7" x14ac:dyDescent="0.2">
      <c r="G248" s="319"/>
    </row>
    <row r="249" spans="7:7" x14ac:dyDescent="0.2">
      <c r="G249" s="319"/>
    </row>
    <row r="250" spans="7:7" x14ac:dyDescent="0.2">
      <c r="G250" s="319"/>
    </row>
    <row r="251" spans="7:7" x14ac:dyDescent="0.2">
      <c r="G251" s="319"/>
    </row>
    <row r="252" spans="7:7" x14ac:dyDescent="0.2">
      <c r="G252" s="319"/>
    </row>
    <row r="253" spans="7:7" x14ac:dyDescent="0.2">
      <c r="G253" s="319"/>
    </row>
    <row r="254" spans="7:7" x14ac:dyDescent="0.2">
      <c r="G254" s="319"/>
    </row>
    <row r="255" spans="7:7" x14ac:dyDescent="0.2">
      <c r="G255" s="319"/>
    </row>
    <row r="256" spans="7:7" x14ac:dyDescent="0.2">
      <c r="G256" s="319"/>
    </row>
    <row r="257" spans="7:7" x14ac:dyDescent="0.2">
      <c r="G257" s="319"/>
    </row>
    <row r="258" spans="7:7" x14ac:dyDescent="0.2">
      <c r="G258" s="319"/>
    </row>
    <row r="259" spans="7:7" x14ac:dyDescent="0.2">
      <c r="G259" s="319"/>
    </row>
    <row r="260" spans="7:7" x14ac:dyDescent="0.2">
      <c r="G260" s="319"/>
    </row>
    <row r="261" spans="7:7" x14ac:dyDescent="0.2">
      <c r="G261" s="319"/>
    </row>
    <row r="262" spans="7:7" x14ac:dyDescent="0.2">
      <c r="G262" s="319"/>
    </row>
    <row r="263" spans="7:7" x14ac:dyDescent="0.2">
      <c r="G263" s="319"/>
    </row>
    <row r="264" spans="7:7" x14ac:dyDescent="0.2">
      <c r="G264" s="319"/>
    </row>
    <row r="265" spans="7:7" x14ac:dyDescent="0.2">
      <c r="G265" s="319"/>
    </row>
    <row r="266" spans="7:7" x14ac:dyDescent="0.2">
      <c r="G266" s="319"/>
    </row>
    <row r="267" spans="7:7" x14ac:dyDescent="0.2">
      <c r="G267" s="319"/>
    </row>
    <row r="268" spans="7:7" x14ac:dyDescent="0.2">
      <c r="G268" s="319"/>
    </row>
    <row r="269" spans="7:7" x14ac:dyDescent="0.2">
      <c r="G269" s="319"/>
    </row>
    <row r="270" spans="7:7" x14ac:dyDescent="0.2">
      <c r="G270" s="319"/>
    </row>
    <row r="271" spans="7:7" x14ac:dyDescent="0.2">
      <c r="G271" s="319"/>
    </row>
    <row r="272" spans="7:7" x14ac:dyDescent="0.2">
      <c r="G272" s="319"/>
    </row>
    <row r="273" spans="7:7" x14ac:dyDescent="0.2">
      <c r="G273" s="319"/>
    </row>
    <row r="274" spans="7:7" x14ac:dyDescent="0.2">
      <c r="G274" s="319"/>
    </row>
    <row r="275" spans="7:7" x14ac:dyDescent="0.2">
      <c r="G275" s="319"/>
    </row>
    <row r="276" spans="7:7" x14ac:dyDescent="0.2">
      <c r="G276" s="319"/>
    </row>
    <row r="277" spans="7:7" x14ac:dyDescent="0.2">
      <c r="G277" s="319"/>
    </row>
    <row r="278" spans="7:7" x14ac:dyDescent="0.2">
      <c r="G278" s="319"/>
    </row>
    <row r="279" spans="7:7" x14ac:dyDescent="0.2">
      <c r="G279" s="319"/>
    </row>
    <row r="280" spans="7:7" x14ac:dyDescent="0.2">
      <c r="G280" s="319"/>
    </row>
    <row r="281" spans="7:7" x14ac:dyDescent="0.2">
      <c r="G281" s="319"/>
    </row>
    <row r="282" spans="7:7" x14ac:dyDescent="0.2">
      <c r="G282" s="319"/>
    </row>
    <row r="283" spans="7:7" x14ac:dyDescent="0.2">
      <c r="G283" s="319"/>
    </row>
    <row r="284" spans="7:7" x14ac:dyDescent="0.2">
      <c r="G284" s="319"/>
    </row>
    <row r="285" spans="7:7" x14ac:dyDescent="0.2">
      <c r="G285" s="319"/>
    </row>
    <row r="286" spans="7:7" x14ac:dyDescent="0.2">
      <c r="G286" s="319"/>
    </row>
    <row r="287" spans="7:7" x14ac:dyDescent="0.2">
      <c r="G287" s="319"/>
    </row>
    <row r="288" spans="7:7" x14ac:dyDescent="0.2">
      <c r="G288" s="319"/>
    </row>
    <row r="289" spans="7:7" x14ac:dyDescent="0.2">
      <c r="G289" s="319"/>
    </row>
    <row r="290" spans="7:7" x14ac:dyDescent="0.2">
      <c r="G290" s="319"/>
    </row>
    <row r="291" spans="7:7" x14ac:dyDescent="0.2">
      <c r="G291" s="319"/>
    </row>
    <row r="292" spans="7:7" x14ac:dyDescent="0.2">
      <c r="G292" s="319"/>
    </row>
    <row r="293" spans="7:7" x14ac:dyDescent="0.2">
      <c r="G293" s="319"/>
    </row>
    <row r="294" spans="7:7" x14ac:dyDescent="0.2">
      <c r="G294" s="319"/>
    </row>
    <row r="295" spans="7:7" x14ac:dyDescent="0.2">
      <c r="G295" s="319"/>
    </row>
    <row r="296" spans="7:7" x14ac:dyDescent="0.2">
      <c r="G296" s="319"/>
    </row>
    <row r="297" spans="7:7" x14ac:dyDescent="0.2">
      <c r="G297" s="319"/>
    </row>
    <row r="298" spans="7:7" x14ac:dyDescent="0.2">
      <c r="G298" s="319"/>
    </row>
    <row r="299" spans="7:7" x14ac:dyDescent="0.2">
      <c r="G299" s="319"/>
    </row>
    <row r="300" spans="7:7" x14ac:dyDescent="0.2">
      <c r="G300" s="319"/>
    </row>
    <row r="301" spans="7:7" x14ac:dyDescent="0.2">
      <c r="G301" s="319"/>
    </row>
    <row r="302" spans="7:7" x14ac:dyDescent="0.2">
      <c r="G302" s="319"/>
    </row>
    <row r="303" spans="7:7" x14ac:dyDescent="0.2">
      <c r="G303" s="319"/>
    </row>
    <row r="304" spans="7:7" x14ac:dyDescent="0.2">
      <c r="G304" s="319"/>
    </row>
    <row r="305" spans="7:7" x14ac:dyDescent="0.2">
      <c r="G305" s="319"/>
    </row>
    <row r="306" spans="7:7" x14ac:dyDescent="0.2">
      <c r="G306" s="319"/>
    </row>
    <row r="307" spans="7:7" x14ac:dyDescent="0.2">
      <c r="G307" s="319"/>
    </row>
    <row r="308" spans="7:7" x14ac:dyDescent="0.2">
      <c r="G308" s="319"/>
    </row>
    <row r="309" spans="7:7" x14ac:dyDescent="0.2">
      <c r="G309" s="319"/>
    </row>
    <row r="310" spans="7:7" x14ac:dyDescent="0.2">
      <c r="G310" s="319"/>
    </row>
    <row r="311" spans="7:7" x14ac:dyDescent="0.2">
      <c r="G311" s="319"/>
    </row>
    <row r="312" spans="7:7" x14ac:dyDescent="0.2">
      <c r="G312" s="319"/>
    </row>
    <row r="313" spans="7:7" x14ac:dyDescent="0.2">
      <c r="G313" s="319"/>
    </row>
    <row r="314" spans="7:7" x14ac:dyDescent="0.2">
      <c r="G314" s="319"/>
    </row>
    <row r="315" spans="7:7" x14ac:dyDescent="0.2">
      <c r="G315" s="319"/>
    </row>
    <row r="316" spans="7:7" x14ac:dyDescent="0.2">
      <c r="G316" s="319"/>
    </row>
    <row r="317" spans="7:7" x14ac:dyDescent="0.2">
      <c r="G317" s="319"/>
    </row>
    <row r="318" spans="7:7" x14ac:dyDescent="0.2">
      <c r="G318" s="319"/>
    </row>
    <row r="319" spans="7:7" x14ac:dyDescent="0.2">
      <c r="G319" s="319"/>
    </row>
    <row r="320" spans="7:7" x14ac:dyDescent="0.2">
      <c r="G320" s="319"/>
    </row>
    <row r="321" spans="7:7" x14ac:dyDescent="0.2">
      <c r="G321" s="319"/>
    </row>
    <row r="322" spans="7:7" x14ac:dyDescent="0.2">
      <c r="G322" s="319"/>
    </row>
    <row r="323" spans="7:7" x14ac:dyDescent="0.2">
      <c r="G323" s="319"/>
    </row>
    <row r="324" spans="7:7" x14ac:dyDescent="0.2">
      <c r="G324" s="319"/>
    </row>
    <row r="325" spans="7:7" x14ac:dyDescent="0.2">
      <c r="G325" s="319"/>
    </row>
    <row r="326" spans="7:7" x14ac:dyDescent="0.2">
      <c r="G326" s="319"/>
    </row>
    <row r="327" spans="7:7" x14ac:dyDescent="0.2">
      <c r="G327" s="319"/>
    </row>
    <row r="328" spans="7:7" x14ac:dyDescent="0.2">
      <c r="G328" s="319"/>
    </row>
    <row r="329" spans="7:7" x14ac:dyDescent="0.2">
      <c r="G329" s="319"/>
    </row>
    <row r="330" spans="7:7" x14ac:dyDescent="0.2">
      <c r="G330" s="319"/>
    </row>
    <row r="331" spans="7:7" x14ac:dyDescent="0.2">
      <c r="G331" s="319"/>
    </row>
    <row r="332" spans="7:7" x14ac:dyDescent="0.2">
      <c r="G332" s="319"/>
    </row>
    <row r="333" spans="7:7" x14ac:dyDescent="0.2">
      <c r="G333" s="319"/>
    </row>
    <row r="334" spans="7:7" x14ac:dyDescent="0.2">
      <c r="G334" s="319"/>
    </row>
    <row r="335" spans="7:7" x14ac:dyDescent="0.2">
      <c r="G335" s="319"/>
    </row>
    <row r="336" spans="7:7" x14ac:dyDescent="0.2">
      <c r="G336" s="319"/>
    </row>
    <row r="337" spans="7:7" x14ac:dyDescent="0.2">
      <c r="G337" s="319"/>
    </row>
    <row r="338" spans="7:7" x14ac:dyDescent="0.2">
      <c r="G338" s="319"/>
    </row>
    <row r="339" spans="7:7" x14ac:dyDescent="0.2">
      <c r="G339" s="319"/>
    </row>
    <row r="340" spans="7:7" x14ac:dyDescent="0.2">
      <c r="G340" s="319"/>
    </row>
    <row r="341" spans="7:7" x14ac:dyDescent="0.2">
      <c r="G341" s="319"/>
    </row>
    <row r="342" spans="7:7" x14ac:dyDescent="0.2">
      <c r="G342" s="319"/>
    </row>
    <row r="343" spans="7:7" x14ac:dyDescent="0.2">
      <c r="G343" s="319"/>
    </row>
    <row r="344" spans="7:7" x14ac:dyDescent="0.2">
      <c r="G344" s="319"/>
    </row>
    <row r="345" spans="7:7" x14ac:dyDescent="0.2">
      <c r="G345" s="319"/>
    </row>
    <row r="346" spans="7:7" x14ac:dyDescent="0.2">
      <c r="G346" s="319"/>
    </row>
    <row r="347" spans="7:7" x14ac:dyDescent="0.2">
      <c r="G347" s="319"/>
    </row>
    <row r="348" spans="7:7" x14ac:dyDescent="0.2">
      <c r="G348" s="319"/>
    </row>
    <row r="349" spans="7:7" x14ac:dyDescent="0.2">
      <c r="G349" s="319"/>
    </row>
    <row r="350" spans="7:7" x14ac:dyDescent="0.2">
      <c r="G350" s="319"/>
    </row>
    <row r="351" spans="7:7" x14ac:dyDescent="0.2">
      <c r="G351" s="319"/>
    </row>
    <row r="352" spans="7:7" x14ac:dyDescent="0.2">
      <c r="G352" s="319"/>
    </row>
    <row r="353" spans="7:7" x14ac:dyDescent="0.2">
      <c r="G353" s="319"/>
    </row>
    <row r="354" spans="7:7" x14ac:dyDescent="0.2">
      <c r="G354" s="319"/>
    </row>
    <row r="355" spans="7:7" x14ac:dyDescent="0.2">
      <c r="G355" s="319"/>
    </row>
    <row r="356" spans="7:7" x14ac:dyDescent="0.2">
      <c r="G356" s="319"/>
    </row>
    <row r="357" spans="7:7" x14ac:dyDescent="0.2">
      <c r="G357" s="319"/>
    </row>
    <row r="358" spans="7:7" x14ac:dyDescent="0.2">
      <c r="G358" s="319"/>
    </row>
    <row r="359" spans="7:7" x14ac:dyDescent="0.2">
      <c r="G359" s="319"/>
    </row>
    <row r="360" spans="7:7" x14ac:dyDescent="0.2">
      <c r="G360" s="319"/>
    </row>
    <row r="361" spans="7:7" x14ac:dyDescent="0.2">
      <c r="G361" s="319"/>
    </row>
    <row r="362" spans="7:7" x14ac:dyDescent="0.2">
      <c r="G362" s="319"/>
    </row>
    <row r="363" spans="7:7" x14ac:dyDescent="0.2">
      <c r="G363" s="319"/>
    </row>
    <row r="364" spans="7:7" x14ac:dyDescent="0.2">
      <c r="G364" s="319"/>
    </row>
    <row r="365" spans="7:7" x14ac:dyDescent="0.2">
      <c r="G365" s="319"/>
    </row>
    <row r="366" spans="7:7" x14ac:dyDescent="0.2">
      <c r="G366" s="319"/>
    </row>
    <row r="367" spans="7:7" x14ac:dyDescent="0.2">
      <c r="G367" s="319"/>
    </row>
    <row r="368" spans="7:7" x14ac:dyDescent="0.2">
      <c r="G368" s="319"/>
    </row>
    <row r="369" spans="7:7" x14ac:dyDescent="0.2">
      <c r="G369" s="319"/>
    </row>
    <row r="370" spans="7:7" x14ac:dyDescent="0.2">
      <c r="G370" s="319"/>
    </row>
    <row r="371" spans="7:7" x14ac:dyDescent="0.2">
      <c r="G371" s="319"/>
    </row>
    <row r="372" spans="7:7" x14ac:dyDescent="0.2">
      <c r="G372" s="319"/>
    </row>
    <row r="373" spans="7:7" x14ac:dyDescent="0.2">
      <c r="G373" s="319"/>
    </row>
    <row r="374" spans="7:7" x14ac:dyDescent="0.2">
      <c r="G374" s="319"/>
    </row>
    <row r="375" spans="7:7" x14ac:dyDescent="0.2">
      <c r="G375" s="319"/>
    </row>
    <row r="376" spans="7:7" x14ac:dyDescent="0.2">
      <c r="G376" s="319"/>
    </row>
    <row r="377" spans="7:7" x14ac:dyDescent="0.2">
      <c r="G377" s="319"/>
    </row>
    <row r="378" spans="7:7" x14ac:dyDescent="0.2">
      <c r="G378" s="319"/>
    </row>
    <row r="379" spans="7:7" x14ac:dyDescent="0.2">
      <c r="G379" s="319"/>
    </row>
    <row r="380" spans="7:7" x14ac:dyDescent="0.2">
      <c r="G380" s="319"/>
    </row>
    <row r="381" spans="7:7" x14ac:dyDescent="0.2">
      <c r="G381" s="319"/>
    </row>
    <row r="382" spans="7:7" x14ac:dyDescent="0.2">
      <c r="G382" s="319"/>
    </row>
    <row r="383" spans="7:7" x14ac:dyDescent="0.2">
      <c r="G383" s="319"/>
    </row>
    <row r="384" spans="7:7" x14ac:dyDescent="0.2">
      <c r="G384" s="319"/>
    </row>
    <row r="385" spans="7:7" x14ac:dyDescent="0.2">
      <c r="G385" s="319"/>
    </row>
    <row r="386" spans="7:7" x14ac:dyDescent="0.2">
      <c r="G386" s="319"/>
    </row>
    <row r="387" spans="7:7" x14ac:dyDescent="0.2">
      <c r="G387" s="319"/>
    </row>
    <row r="388" spans="7:7" x14ac:dyDescent="0.2">
      <c r="G388" s="319"/>
    </row>
    <row r="389" spans="7:7" x14ac:dyDescent="0.2">
      <c r="G389" s="319"/>
    </row>
    <row r="390" spans="7:7" x14ac:dyDescent="0.2">
      <c r="G390" s="319"/>
    </row>
    <row r="391" spans="7:7" x14ac:dyDescent="0.2">
      <c r="G391" s="319"/>
    </row>
    <row r="392" spans="7:7" x14ac:dyDescent="0.2">
      <c r="G392" s="319"/>
    </row>
    <row r="393" spans="7:7" x14ac:dyDescent="0.2">
      <c r="G393" s="319"/>
    </row>
    <row r="394" spans="7:7" x14ac:dyDescent="0.2">
      <c r="G394" s="319"/>
    </row>
    <row r="395" spans="7:7" x14ac:dyDescent="0.2">
      <c r="G395" s="319"/>
    </row>
    <row r="396" spans="7:7" x14ac:dyDescent="0.2">
      <c r="G396" s="319"/>
    </row>
    <row r="397" spans="7:7" x14ac:dyDescent="0.2">
      <c r="G397" s="319"/>
    </row>
    <row r="398" spans="7:7" x14ac:dyDescent="0.2">
      <c r="G398" s="319"/>
    </row>
    <row r="399" spans="7:7" x14ac:dyDescent="0.2">
      <c r="G399" s="319"/>
    </row>
    <row r="400" spans="7:7" x14ac:dyDescent="0.2">
      <c r="G400" s="319"/>
    </row>
    <row r="401" spans="7:7" x14ac:dyDescent="0.2">
      <c r="G401" s="319"/>
    </row>
    <row r="402" spans="7:7" x14ac:dyDescent="0.2">
      <c r="G402" s="319"/>
    </row>
    <row r="403" spans="7:7" x14ac:dyDescent="0.2">
      <c r="G403" s="319"/>
    </row>
    <row r="404" spans="7:7" x14ac:dyDescent="0.2">
      <c r="G404" s="319"/>
    </row>
    <row r="405" spans="7:7" x14ac:dyDescent="0.2">
      <c r="G405" s="319"/>
    </row>
    <row r="406" spans="7:7" x14ac:dyDescent="0.2">
      <c r="G406" s="319"/>
    </row>
    <row r="407" spans="7:7" x14ac:dyDescent="0.2">
      <c r="G407" s="319"/>
    </row>
    <row r="408" spans="7:7" x14ac:dyDescent="0.2">
      <c r="G408" s="319"/>
    </row>
    <row r="409" spans="7:7" x14ac:dyDescent="0.2">
      <c r="G409" s="319"/>
    </row>
    <row r="410" spans="7:7" x14ac:dyDescent="0.2">
      <c r="G410" s="319"/>
    </row>
    <row r="411" spans="7:7" x14ac:dyDescent="0.2">
      <c r="G411" s="319"/>
    </row>
    <row r="412" spans="7:7" x14ac:dyDescent="0.2">
      <c r="G412" s="319"/>
    </row>
    <row r="413" spans="7:7" x14ac:dyDescent="0.2">
      <c r="G413" s="319"/>
    </row>
    <row r="414" spans="7:7" x14ac:dyDescent="0.2">
      <c r="G414" s="319"/>
    </row>
    <row r="415" spans="7:7" x14ac:dyDescent="0.2">
      <c r="G415" s="319"/>
    </row>
    <row r="416" spans="7:7" x14ac:dyDescent="0.2">
      <c r="G416" s="319"/>
    </row>
    <row r="417" spans="7:7" x14ac:dyDescent="0.2">
      <c r="G417" s="319"/>
    </row>
    <row r="418" spans="7:7" x14ac:dyDescent="0.2">
      <c r="G418" s="319"/>
    </row>
    <row r="419" spans="7:7" x14ac:dyDescent="0.2">
      <c r="G419" s="319"/>
    </row>
    <row r="420" spans="7:7" x14ac:dyDescent="0.2">
      <c r="G420" s="319"/>
    </row>
    <row r="421" spans="7:7" x14ac:dyDescent="0.2">
      <c r="G421" s="319"/>
    </row>
    <row r="422" spans="7:7" x14ac:dyDescent="0.2">
      <c r="G422" s="319"/>
    </row>
    <row r="423" spans="7:7" x14ac:dyDescent="0.2">
      <c r="G423" s="319"/>
    </row>
    <row r="424" spans="7:7" x14ac:dyDescent="0.2">
      <c r="G424" s="319"/>
    </row>
    <row r="425" spans="7:7" x14ac:dyDescent="0.2">
      <c r="G425" s="319"/>
    </row>
    <row r="426" spans="7:7" x14ac:dyDescent="0.2">
      <c r="G426" s="319"/>
    </row>
    <row r="427" spans="7:7" x14ac:dyDescent="0.2">
      <c r="G427" s="319"/>
    </row>
    <row r="428" spans="7:7" x14ac:dyDescent="0.2">
      <c r="G428" s="319"/>
    </row>
    <row r="429" spans="7:7" x14ac:dyDescent="0.2">
      <c r="G429" s="319"/>
    </row>
    <row r="430" spans="7:7" x14ac:dyDescent="0.2">
      <c r="G430" s="319"/>
    </row>
    <row r="431" spans="7:7" x14ac:dyDescent="0.2">
      <c r="G431" s="319"/>
    </row>
    <row r="432" spans="7:7" x14ac:dyDescent="0.2">
      <c r="G432" s="319"/>
    </row>
    <row r="433" spans="7:7" x14ac:dyDescent="0.2">
      <c r="G433" s="319"/>
    </row>
    <row r="434" spans="7:7" x14ac:dyDescent="0.2">
      <c r="G434" s="319"/>
    </row>
    <row r="435" spans="7:7" x14ac:dyDescent="0.2">
      <c r="G435" s="319"/>
    </row>
    <row r="436" spans="7:7" x14ac:dyDescent="0.2">
      <c r="G436" s="319"/>
    </row>
    <row r="437" spans="7:7" x14ac:dyDescent="0.2">
      <c r="G437" s="319"/>
    </row>
    <row r="438" spans="7:7" x14ac:dyDescent="0.2">
      <c r="G438" s="319"/>
    </row>
    <row r="439" spans="7:7" x14ac:dyDescent="0.2">
      <c r="G439" s="319"/>
    </row>
    <row r="440" spans="7:7" x14ac:dyDescent="0.2">
      <c r="G440" s="319"/>
    </row>
    <row r="441" spans="7:7" x14ac:dyDescent="0.2">
      <c r="G441" s="319"/>
    </row>
    <row r="442" spans="7:7" x14ac:dyDescent="0.2">
      <c r="G442" s="319"/>
    </row>
    <row r="443" spans="7:7" x14ac:dyDescent="0.2">
      <c r="G443" s="319"/>
    </row>
    <row r="444" spans="7:7" x14ac:dyDescent="0.2">
      <c r="G444" s="319"/>
    </row>
    <row r="445" spans="7:7" x14ac:dyDescent="0.2">
      <c r="G445" s="319"/>
    </row>
    <row r="446" spans="7:7" x14ac:dyDescent="0.2">
      <c r="G446" s="319"/>
    </row>
    <row r="447" spans="7:7" x14ac:dyDescent="0.2">
      <c r="G447" s="319"/>
    </row>
    <row r="448" spans="7:7" x14ac:dyDescent="0.2">
      <c r="G448" s="319"/>
    </row>
    <row r="449" spans="7:7" x14ac:dyDescent="0.2">
      <c r="G449" s="319"/>
    </row>
    <row r="450" spans="7:7" x14ac:dyDescent="0.2">
      <c r="G450" s="319"/>
    </row>
    <row r="451" spans="7:7" x14ac:dyDescent="0.2">
      <c r="G451" s="319"/>
    </row>
    <row r="452" spans="7:7" x14ac:dyDescent="0.2">
      <c r="G452" s="319"/>
    </row>
    <row r="453" spans="7:7" x14ac:dyDescent="0.2">
      <c r="G453" s="319"/>
    </row>
    <row r="454" spans="7:7" x14ac:dyDescent="0.2">
      <c r="G454" s="319"/>
    </row>
    <row r="455" spans="7:7" x14ac:dyDescent="0.2">
      <c r="G455" s="319"/>
    </row>
    <row r="456" spans="7:7" x14ac:dyDescent="0.2">
      <c r="G456" s="319"/>
    </row>
    <row r="457" spans="7:7" x14ac:dyDescent="0.2">
      <c r="G457" s="319"/>
    </row>
    <row r="458" spans="7:7" x14ac:dyDescent="0.2">
      <c r="G458" s="319"/>
    </row>
    <row r="459" spans="7:7" x14ac:dyDescent="0.2">
      <c r="G459" s="319"/>
    </row>
    <row r="460" spans="7:7" x14ac:dyDescent="0.2">
      <c r="G460" s="319"/>
    </row>
    <row r="461" spans="7:7" x14ac:dyDescent="0.2">
      <c r="G461" s="319"/>
    </row>
    <row r="462" spans="7:7" x14ac:dyDescent="0.2">
      <c r="G462" s="319"/>
    </row>
    <row r="463" spans="7:7" x14ac:dyDescent="0.2">
      <c r="G463" s="319"/>
    </row>
    <row r="464" spans="7:7" x14ac:dyDescent="0.2">
      <c r="G464" s="319"/>
    </row>
    <row r="465" spans="7:7" x14ac:dyDescent="0.2">
      <c r="G465" s="319"/>
    </row>
    <row r="466" spans="7:7" x14ac:dyDescent="0.2">
      <c r="G466" s="319"/>
    </row>
    <row r="467" spans="7:7" x14ac:dyDescent="0.2">
      <c r="G467" s="319"/>
    </row>
    <row r="468" spans="7:7" x14ac:dyDescent="0.2">
      <c r="G468" s="319"/>
    </row>
    <row r="469" spans="7:7" x14ac:dyDescent="0.2">
      <c r="G469" s="319"/>
    </row>
    <row r="470" spans="7:7" x14ac:dyDescent="0.2">
      <c r="G470" s="319"/>
    </row>
    <row r="471" spans="7:7" x14ac:dyDescent="0.2">
      <c r="G471" s="319"/>
    </row>
    <row r="472" spans="7:7" x14ac:dyDescent="0.2">
      <c r="G472" s="319"/>
    </row>
    <row r="473" spans="7:7" x14ac:dyDescent="0.2">
      <c r="G473" s="319"/>
    </row>
    <row r="474" spans="7:7" x14ac:dyDescent="0.2">
      <c r="G474" s="319"/>
    </row>
    <row r="475" spans="7:7" x14ac:dyDescent="0.2">
      <c r="G475" s="319"/>
    </row>
    <row r="476" spans="7:7" x14ac:dyDescent="0.2">
      <c r="G476" s="319"/>
    </row>
    <row r="477" spans="7:7" x14ac:dyDescent="0.2">
      <c r="G477" s="319"/>
    </row>
    <row r="478" spans="7:7" x14ac:dyDescent="0.2">
      <c r="G478" s="319"/>
    </row>
    <row r="479" spans="7:7" x14ac:dyDescent="0.2">
      <c r="G479" s="319"/>
    </row>
    <row r="480" spans="7:7" x14ac:dyDescent="0.2">
      <c r="G480" s="319"/>
    </row>
    <row r="481" spans="7:7" x14ac:dyDescent="0.2">
      <c r="G481" s="319"/>
    </row>
    <row r="482" spans="7:7" x14ac:dyDescent="0.2">
      <c r="G482" s="319"/>
    </row>
    <row r="483" spans="7:7" x14ac:dyDescent="0.2">
      <c r="G483" s="319"/>
    </row>
    <row r="484" spans="7:7" x14ac:dyDescent="0.2">
      <c r="G484" s="319"/>
    </row>
    <row r="485" spans="7:7" x14ac:dyDescent="0.2">
      <c r="G485" s="319"/>
    </row>
    <row r="486" spans="7:7" x14ac:dyDescent="0.2">
      <c r="G486" s="319"/>
    </row>
    <row r="487" spans="7:7" x14ac:dyDescent="0.2">
      <c r="G487" s="319"/>
    </row>
    <row r="488" spans="7:7" x14ac:dyDescent="0.2">
      <c r="G488" s="319"/>
    </row>
    <row r="489" spans="7:7" x14ac:dyDescent="0.2">
      <c r="G489" s="319"/>
    </row>
    <row r="490" spans="7:7" x14ac:dyDescent="0.2">
      <c r="G490" s="319"/>
    </row>
    <row r="491" spans="7:7" x14ac:dyDescent="0.2">
      <c r="G491" s="319"/>
    </row>
    <row r="492" spans="7:7" x14ac:dyDescent="0.2">
      <c r="G492" s="319"/>
    </row>
    <row r="493" spans="7:7" x14ac:dyDescent="0.2">
      <c r="G493" s="319"/>
    </row>
    <row r="494" spans="7:7" x14ac:dyDescent="0.2">
      <c r="G494" s="319"/>
    </row>
    <row r="495" spans="7:7" x14ac:dyDescent="0.2">
      <c r="G495" s="319"/>
    </row>
    <row r="496" spans="7:7" x14ac:dyDescent="0.2">
      <c r="G496" s="319"/>
    </row>
    <row r="497" spans="7:7" x14ac:dyDescent="0.2">
      <c r="G497" s="319"/>
    </row>
    <row r="498" spans="7:7" x14ac:dyDescent="0.2">
      <c r="G498" s="319"/>
    </row>
    <row r="499" spans="7:7" x14ac:dyDescent="0.2">
      <c r="G499" s="319"/>
    </row>
    <row r="500" spans="7:7" x14ac:dyDescent="0.2">
      <c r="G500" s="319"/>
    </row>
    <row r="501" spans="7:7" x14ac:dyDescent="0.2">
      <c r="G501" s="319"/>
    </row>
    <row r="502" spans="7:7" x14ac:dyDescent="0.2">
      <c r="G502" s="319"/>
    </row>
    <row r="503" spans="7:7" x14ac:dyDescent="0.2">
      <c r="G503" s="319"/>
    </row>
    <row r="504" spans="7:7" x14ac:dyDescent="0.2">
      <c r="G504" s="319"/>
    </row>
    <row r="505" spans="7:7" x14ac:dyDescent="0.2">
      <c r="G505" s="319"/>
    </row>
    <row r="506" spans="7:7" x14ac:dyDescent="0.2">
      <c r="G506" s="319"/>
    </row>
    <row r="507" spans="7:7" x14ac:dyDescent="0.2">
      <c r="G507" s="319"/>
    </row>
    <row r="508" spans="7:7" x14ac:dyDescent="0.2">
      <c r="G508" s="319"/>
    </row>
    <row r="509" spans="7:7" x14ac:dyDescent="0.2">
      <c r="G509" s="319"/>
    </row>
    <row r="510" spans="7:7" x14ac:dyDescent="0.2">
      <c r="G510" s="319"/>
    </row>
    <row r="511" spans="7:7" x14ac:dyDescent="0.2">
      <c r="G511" s="319"/>
    </row>
    <row r="512" spans="7:7" x14ac:dyDescent="0.2">
      <c r="G512" s="319"/>
    </row>
    <row r="513" spans="7:7" x14ac:dyDescent="0.2">
      <c r="G513" s="319"/>
    </row>
    <row r="514" spans="7:7" x14ac:dyDescent="0.2">
      <c r="G514" s="319"/>
    </row>
    <row r="515" spans="7:7" x14ac:dyDescent="0.2">
      <c r="G515" s="319"/>
    </row>
    <row r="516" spans="7:7" x14ac:dyDescent="0.2">
      <c r="G516" s="319"/>
    </row>
    <row r="517" spans="7:7" x14ac:dyDescent="0.2">
      <c r="G517" s="319"/>
    </row>
    <row r="518" spans="7:7" x14ac:dyDescent="0.2">
      <c r="G518" s="319"/>
    </row>
    <row r="519" spans="7:7" x14ac:dyDescent="0.2">
      <c r="G519" s="319"/>
    </row>
    <row r="520" spans="7:7" x14ac:dyDescent="0.2">
      <c r="G520" s="319"/>
    </row>
    <row r="521" spans="7:7" x14ac:dyDescent="0.2">
      <c r="G521" s="319"/>
    </row>
    <row r="522" spans="7:7" x14ac:dyDescent="0.2">
      <c r="G522" s="319"/>
    </row>
    <row r="523" spans="7:7" x14ac:dyDescent="0.2">
      <c r="G523" s="319"/>
    </row>
    <row r="524" spans="7:7" x14ac:dyDescent="0.2">
      <c r="G524" s="319"/>
    </row>
    <row r="525" spans="7:7" x14ac:dyDescent="0.2">
      <c r="G525" s="319"/>
    </row>
    <row r="526" spans="7:7" x14ac:dyDescent="0.2">
      <c r="G526" s="319"/>
    </row>
    <row r="527" spans="7:7" x14ac:dyDescent="0.2">
      <c r="G527" s="319"/>
    </row>
    <row r="528" spans="7:7" x14ac:dyDescent="0.2">
      <c r="G528" s="319"/>
    </row>
    <row r="529" spans="7:7" x14ac:dyDescent="0.2">
      <c r="G529" s="319"/>
    </row>
    <row r="530" spans="7:7" x14ac:dyDescent="0.2">
      <c r="G530" s="319"/>
    </row>
    <row r="531" spans="7:7" x14ac:dyDescent="0.2">
      <c r="G531" s="319"/>
    </row>
    <row r="532" spans="7:7" x14ac:dyDescent="0.2">
      <c r="G532" s="319"/>
    </row>
    <row r="533" spans="7:7" x14ac:dyDescent="0.2">
      <c r="G533" s="319"/>
    </row>
    <row r="534" spans="7:7" x14ac:dyDescent="0.2">
      <c r="G534" s="319"/>
    </row>
    <row r="535" spans="7:7" x14ac:dyDescent="0.2">
      <c r="G535" s="319"/>
    </row>
    <row r="536" spans="7:7" x14ac:dyDescent="0.2">
      <c r="G536" s="319"/>
    </row>
    <row r="537" spans="7:7" x14ac:dyDescent="0.2">
      <c r="G537" s="319"/>
    </row>
    <row r="538" spans="7:7" x14ac:dyDescent="0.2">
      <c r="G538" s="319"/>
    </row>
    <row r="539" spans="7:7" x14ac:dyDescent="0.2">
      <c r="G539" s="319"/>
    </row>
    <row r="540" spans="7:7" x14ac:dyDescent="0.2">
      <c r="G540" s="319"/>
    </row>
    <row r="541" spans="7:7" x14ac:dyDescent="0.2">
      <c r="G541" s="319"/>
    </row>
    <row r="542" spans="7:7" x14ac:dyDescent="0.2">
      <c r="G542" s="319"/>
    </row>
    <row r="543" spans="7:7" x14ac:dyDescent="0.2">
      <c r="G543" s="319"/>
    </row>
    <row r="544" spans="7:7" x14ac:dyDescent="0.2">
      <c r="G544" s="319"/>
    </row>
    <row r="545" spans="7:7" x14ac:dyDescent="0.2">
      <c r="G545" s="319"/>
    </row>
    <row r="546" spans="7:7" x14ac:dyDescent="0.2">
      <c r="G546" s="319"/>
    </row>
    <row r="547" spans="7:7" x14ac:dyDescent="0.2">
      <c r="G547" s="319"/>
    </row>
    <row r="548" spans="7:7" x14ac:dyDescent="0.2">
      <c r="G548" s="319"/>
    </row>
    <row r="549" spans="7:7" x14ac:dyDescent="0.2">
      <c r="G549" s="319"/>
    </row>
    <row r="550" spans="7:7" x14ac:dyDescent="0.2">
      <c r="G550" s="319"/>
    </row>
    <row r="551" spans="7:7" x14ac:dyDescent="0.2">
      <c r="G551" s="319"/>
    </row>
    <row r="552" spans="7:7" x14ac:dyDescent="0.2">
      <c r="G552" s="319"/>
    </row>
    <row r="553" spans="7:7" x14ac:dyDescent="0.2">
      <c r="G553" s="319"/>
    </row>
    <row r="554" spans="7:7" x14ac:dyDescent="0.2">
      <c r="G554" s="319"/>
    </row>
    <row r="555" spans="7:7" x14ac:dyDescent="0.2">
      <c r="G555" s="319"/>
    </row>
    <row r="556" spans="7:7" x14ac:dyDescent="0.2">
      <c r="G556" s="319"/>
    </row>
    <row r="557" spans="7:7" x14ac:dyDescent="0.2">
      <c r="G557" s="319"/>
    </row>
    <row r="558" spans="7:7" x14ac:dyDescent="0.2">
      <c r="G558" s="319"/>
    </row>
    <row r="559" spans="7:7" x14ac:dyDescent="0.2">
      <c r="G559" s="319"/>
    </row>
    <row r="560" spans="7:7" x14ac:dyDescent="0.2">
      <c r="G560" s="319"/>
    </row>
    <row r="561" spans="7:7" x14ac:dyDescent="0.2">
      <c r="G561" s="319"/>
    </row>
    <row r="562" spans="7:7" x14ac:dyDescent="0.2">
      <c r="G562" s="319"/>
    </row>
    <row r="563" spans="7:7" x14ac:dyDescent="0.2">
      <c r="G563" s="319"/>
    </row>
    <row r="564" spans="7:7" x14ac:dyDescent="0.2">
      <c r="G564" s="319"/>
    </row>
    <row r="565" spans="7:7" x14ac:dyDescent="0.2">
      <c r="G565" s="319"/>
    </row>
    <row r="566" spans="7:7" x14ac:dyDescent="0.2">
      <c r="G566" s="319"/>
    </row>
    <row r="567" spans="7:7" x14ac:dyDescent="0.2">
      <c r="G567" s="319"/>
    </row>
    <row r="568" spans="7:7" x14ac:dyDescent="0.2">
      <c r="G568" s="319"/>
    </row>
    <row r="569" spans="7:7" x14ac:dyDescent="0.2">
      <c r="G569" s="319"/>
    </row>
    <row r="570" spans="7:7" x14ac:dyDescent="0.2">
      <c r="G570" s="319"/>
    </row>
    <row r="571" spans="7:7" x14ac:dyDescent="0.2">
      <c r="G571" s="319"/>
    </row>
    <row r="572" spans="7:7" x14ac:dyDescent="0.2">
      <c r="G572" s="319"/>
    </row>
    <row r="573" spans="7:7" x14ac:dyDescent="0.2">
      <c r="G573" s="319"/>
    </row>
    <row r="574" spans="7:7" x14ac:dyDescent="0.2">
      <c r="G574" s="319"/>
    </row>
    <row r="575" spans="7:7" x14ac:dyDescent="0.2">
      <c r="G575" s="319"/>
    </row>
    <row r="576" spans="7:7" x14ac:dyDescent="0.2">
      <c r="G576" s="319"/>
    </row>
    <row r="577" spans="7:7" x14ac:dyDescent="0.2">
      <c r="G577" s="319"/>
    </row>
    <row r="578" spans="7:7" x14ac:dyDescent="0.2">
      <c r="G578" s="319"/>
    </row>
    <row r="579" spans="7:7" x14ac:dyDescent="0.2">
      <c r="G579" s="319"/>
    </row>
    <row r="580" spans="7:7" x14ac:dyDescent="0.2">
      <c r="G580" s="319"/>
    </row>
    <row r="581" spans="7:7" x14ac:dyDescent="0.2">
      <c r="G581" s="319"/>
    </row>
    <row r="582" spans="7:7" x14ac:dyDescent="0.2">
      <c r="G582" s="319"/>
    </row>
    <row r="583" spans="7:7" x14ac:dyDescent="0.2">
      <c r="G583" s="319"/>
    </row>
    <row r="584" spans="7:7" x14ac:dyDescent="0.2">
      <c r="G584" s="319"/>
    </row>
    <row r="585" spans="7:7" x14ac:dyDescent="0.2">
      <c r="G585" s="319"/>
    </row>
    <row r="586" spans="7:7" x14ac:dyDescent="0.2">
      <c r="G586" s="319"/>
    </row>
    <row r="587" spans="7:7" x14ac:dyDescent="0.2">
      <c r="G587" s="319"/>
    </row>
    <row r="588" spans="7:7" x14ac:dyDescent="0.2">
      <c r="G588" s="319"/>
    </row>
    <row r="589" spans="7:7" x14ac:dyDescent="0.2">
      <c r="G589" s="319"/>
    </row>
    <row r="590" spans="7:7" x14ac:dyDescent="0.2">
      <c r="G590" s="319"/>
    </row>
    <row r="591" spans="7:7" x14ac:dyDescent="0.2">
      <c r="G591" s="319"/>
    </row>
    <row r="592" spans="7:7" x14ac:dyDescent="0.2">
      <c r="G592" s="319"/>
    </row>
    <row r="593" spans="7:7" x14ac:dyDescent="0.2">
      <c r="G593" s="319"/>
    </row>
    <row r="594" spans="7:7" x14ac:dyDescent="0.2">
      <c r="G594" s="319"/>
    </row>
    <row r="595" spans="7:7" x14ac:dyDescent="0.2">
      <c r="G595" s="319"/>
    </row>
    <row r="596" spans="7:7" x14ac:dyDescent="0.2">
      <c r="G596" s="319"/>
    </row>
    <row r="597" spans="7:7" x14ac:dyDescent="0.2">
      <c r="G597" s="319"/>
    </row>
    <row r="598" spans="7:7" x14ac:dyDescent="0.2">
      <c r="G598" s="319"/>
    </row>
    <row r="599" spans="7:7" x14ac:dyDescent="0.2">
      <c r="G599" s="319"/>
    </row>
    <row r="600" spans="7:7" x14ac:dyDescent="0.2">
      <c r="G600" s="319"/>
    </row>
    <row r="601" spans="7:7" x14ac:dyDescent="0.2">
      <c r="G601" s="319"/>
    </row>
    <row r="602" spans="7:7" x14ac:dyDescent="0.2">
      <c r="G602" s="319"/>
    </row>
    <row r="603" spans="7:7" x14ac:dyDescent="0.2">
      <c r="G603" s="319"/>
    </row>
    <row r="604" spans="7:7" x14ac:dyDescent="0.2">
      <c r="G604" s="319"/>
    </row>
    <row r="605" spans="7:7" x14ac:dyDescent="0.2">
      <c r="G605" s="319"/>
    </row>
    <row r="606" spans="7:7" x14ac:dyDescent="0.2">
      <c r="G606" s="319"/>
    </row>
    <row r="607" spans="7:7" x14ac:dyDescent="0.2">
      <c r="G607" s="319"/>
    </row>
    <row r="608" spans="7:7" x14ac:dyDescent="0.2">
      <c r="G608" s="319"/>
    </row>
    <row r="609" spans="7:7" x14ac:dyDescent="0.2">
      <c r="G609" s="319"/>
    </row>
    <row r="610" spans="7:7" x14ac:dyDescent="0.2">
      <c r="G610" s="319"/>
    </row>
    <row r="611" spans="7:7" x14ac:dyDescent="0.2">
      <c r="G611" s="319"/>
    </row>
    <row r="612" spans="7:7" x14ac:dyDescent="0.2">
      <c r="G612" s="319"/>
    </row>
    <row r="613" spans="7:7" x14ac:dyDescent="0.2">
      <c r="G613" s="319"/>
    </row>
    <row r="614" spans="7:7" x14ac:dyDescent="0.2">
      <c r="G614" s="319"/>
    </row>
    <row r="615" spans="7:7" x14ac:dyDescent="0.2">
      <c r="G615" s="319"/>
    </row>
    <row r="616" spans="7:7" x14ac:dyDescent="0.2">
      <c r="G616" s="319"/>
    </row>
    <row r="617" spans="7:7" x14ac:dyDescent="0.2">
      <c r="G617" s="319"/>
    </row>
    <row r="618" spans="7:7" x14ac:dyDescent="0.2">
      <c r="G618" s="319"/>
    </row>
    <row r="619" spans="7:7" x14ac:dyDescent="0.2">
      <c r="G619" s="319"/>
    </row>
    <row r="620" spans="7:7" x14ac:dyDescent="0.2">
      <c r="G620" s="319"/>
    </row>
    <row r="621" spans="7:7" x14ac:dyDescent="0.2">
      <c r="G621" s="319"/>
    </row>
    <row r="622" spans="7:7" x14ac:dyDescent="0.2">
      <c r="G622" s="319"/>
    </row>
    <row r="623" spans="7:7" x14ac:dyDescent="0.2">
      <c r="G623" s="319"/>
    </row>
    <row r="624" spans="7:7" x14ac:dyDescent="0.2">
      <c r="G624" s="319"/>
    </row>
    <row r="625" spans="7:7" x14ac:dyDescent="0.2">
      <c r="G625" s="319"/>
    </row>
    <row r="626" spans="7:7" x14ac:dyDescent="0.2">
      <c r="G626" s="319"/>
    </row>
    <row r="627" spans="7:7" x14ac:dyDescent="0.2">
      <c r="G627" s="319"/>
    </row>
    <row r="628" spans="7:7" x14ac:dyDescent="0.2">
      <c r="G628" s="319"/>
    </row>
    <row r="629" spans="7:7" x14ac:dyDescent="0.2">
      <c r="G629" s="319"/>
    </row>
    <row r="630" spans="7:7" x14ac:dyDescent="0.2">
      <c r="G630" s="319"/>
    </row>
    <row r="631" spans="7:7" x14ac:dyDescent="0.2">
      <c r="G631" s="319"/>
    </row>
    <row r="632" spans="7:7" x14ac:dyDescent="0.2">
      <c r="G632" s="319"/>
    </row>
    <row r="633" spans="7:7" x14ac:dyDescent="0.2">
      <c r="G633" s="319"/>
    </row>
    <row r="634" spans="7:7" x14ac:dyDescent="0.2">
      <c r="G634" s="319"/>
    </row>
    <row r="635" spans="7:7" x14ac:dyDescent="0.2">
      <c r="G635" s="319"/>
    </row>
    <row r="636" spans="7:7" x14ac:dyDescent="0.2">
      <c r="G636" s="319"/>
    </row>
    <row r="637" spans="7:7" x14ac:dyDescent="0.2">
      <c r="G637" s="319"/>
    </row>
    <row r="638" spans="7:7" x14ac:dyDescent="0.2">
      <c r="G638" s="319"/>
    </row>
    <row r="639" spans="7:7" x14ac:dyDescent="0.2">
      <c r="G639" s="319"/>
    </row>
    <row r="640" spans="7:7" x14ac:dyDescent="0.2">
      <c r="G640" s="319"/>
    </row>
    <row r="641" spans="7:7" x14ac:dyDescent="0.2">
      <c r="G641" s="319"/>
    </row>
    <row r="642" spans="7:7" x14ac:dyDescent="0.2">
      <c r="G642" s="319"/>
    </row>
    <row r="643" spans="7:7" x14ac:dyDescent="0.2">
      <c r="G643" s="319"/>
    </row>
    <row r="644" spans="7:7" x14ac:dyDescent="0.2">
      <c r="G644" s="319"/>
    </row>
    <row r="645" spans="7:7" x14ac:dyDescent="0.2">
      <c r="G645" s="319"/>
    </row>
    <row r="646" spans="7:7" x14ac:dyDescent="0.2">
      <c r="G646" s="319"/>
    </row>
    <row r="647" spans="7:7" x14ac:dyDescent="0.2">
      <c r="G647" s="319"/>
    </row>
    <row r="648" spans="7:7" x14ac:dyDescent="0.2">
      <c r="G648" s="319"/>
    </row>
    <row r="649" spans="7:7" x14ac:dyDescent="0.2">
      <c r="G649" s="319"/>
    </row>
    <row r="650" spans="7:7" x14ac:dyDescent="0.2">
      <c r="G650" s="319"/>
    </row>
    <row r="651" spans="7:7" x14ac:dyDescent="0.2">
      <c r="G651" s="319"/>
    </row>
    <row r="652" spans="7:7" x14ac:dyDescent="0.2">
      <c r="G652" s="319"/>
    </row>
    <row r="653" spans="7:7" x14ac:dyDescent="0.2">
      <c r="G653" s="319"/>
    </row>
    <row r="654" spans="7:7" x14ac:dyDescent="0.2">
      <c r="G654" s="319"/>
    </row>
    <row r="655" spans="7:7" x14ac:dyDescent="0.2">
      <c r="G655" s="319"/>
    </row>
    <row r="656" spans="7:7" x14ac:dyDescent="0.2">
      <c r="G656" s="319"/>
    </row>
    <row r="657" spans="7:7" x14ac:dyDescent="0.2">
      <c r="G657" s="319"/>
    </row>
    <row r="658" spans="7:7" x14ac:dyDescent="0.2">
      <c r="G658" s="319"/>
    </row>
    <row r="659" spans="7:7" x14ac:dyDescent="0.2">
      <c r="G659" s="319"/>
    </row>
    <row r="660" spans="7:7" x14ac:dyDescent="0.2">
      <c r="G660" s="319"/>
    </row>
    <row r="661" spans="7:7" x14ac:dyDescent="0.2">
      <c r="G661" s="319"/>
    </row>
    <row r="662" spans="7:7" x14ac:dyDescent="0.2">
      <c r="G662" s="319"/>
    </row>
    <row r="663" spans="7:7" x14ac:dyDescent="0.2">
      <c r="G663" s="319"/>
    </row>
    <row r="664" spans="7:7" x14ac:dyDescent="0.2">
      <c r="G664" s="319"/>
    </row>
    <row r="665" spans="7:7" x14ac:dyDescent="0.2">
      <c r="G665" s="319"/>
    </row>
    <row r="666" spans="7:7" x14ac:dyDescent="0.2">
      <c r="G666" s="319"/>
    </row>
    <row r="667" spans="7:7" x14ac:dyDescent="0.2">
      <c r="G667" s="319"/>
    </row>
    <row r="668" spans="7:7" x14ac:dyDescent="0.2">
      <c r="G668" s="319"/>
    </row>
    <row r="669" spans="7:7" x14ac:dyDescent="0.2">
      <c r="G669" s="319"/>
    </row>
    <row r="670" spans="7:7" x14ac:dyDescent="0.2">
      <c r="G670" s="319"/>
    </row>
    <row r="671" spans="7:7" x14ac:dyDescent="0.2">
      <c r="G671" s="319"/>
    </row>
    <row r="672" spans="7:7" x14ac:dyDescent="0.2">
      <c r="G672" s="319"/>
    </row>
    <row r="673" spans="7:7" x14ac:dyDescent="0.2">
      <c r="G673" s="319"/>
    </row>
    <row r="674" spans="7:7" x14ac:dyDescent="0.2">
      <c r="G674" s="319"/>
    </row>
    <row r="675" spans="7:7" x14ac:dyDescent="0.2">
      <c r="G675" s="319"/>
    </row>
    <row r="676" spans="7:7" x14ac:dyDescent="0.2">
      <c r="G676" s="319"/>
    </row>
    <row r="677" spans="7:7" x14ac:dyDescent="0.2">
      <c r="G677" s="319"/>
    </row>
    <row r="678" spans="7:7" x14ac:dyDescent="0.2">
      <c r="G678" s="319"/>
    </row>
    <row r="679" spans="7:7" x14ac:dyDescent="0.2">
      <c r="G679" s="319"/>
    </row>
    <row r="680" spans="7:7" x14ac:dyDescent="0.2">
      <c r="G680" s="319"/>
    </row>
    <row r="681" spans="7:7" x14ac:dyDescent="0.2">
      <c r="G681" s="319"/>
    </row>
    <row r="682" spans="7:7" x14ac:dyDescent="0.2">
      <c r="G682" s="319"/>
    </row>
    <row r="683" spans="7:7" x14ac:dyDescent="0.2">
      <c r="G683" s="319"/>
    </row>
    <row r="684" spans="7:7" x14ac:dyDescent="0.2">
      <c r="G684" s="319"/>
    </row>
    <row r="685" spans="7:7" x14ac:dyDescent="0.2">
      <c r="G685" s="319"/>
    </row>
    <row r="686" spans="7:7" x14ac:dyDescent="0.2">
      <c r="G686" s="319"/>
    </row>
    <row r="687" spans="7:7" x14ac:dyDescent="0.2">
      <c r="G687" s="319"/>
    </row>
    <row r="688" spans="7:7" x14ac:dyDescent="0.2">
      <c r="G688" s="319"/>
    </row>
    <row r="689" spans="7:7" x14ac:dyDescent="0.2">
      <c r="G689" s="319"/>
    </row>
    <row r="690" spans="7:7" x14ac:dyDescent="0.2">
      <c r="G690" s="319"/>
    </row>
    <row r="691" spans="7:7" x14ac:dyDescent="0.2">
      <c r="G691" s="319"/>
    </row>
    <row r="692" spans="7:7" x14ac:dyDescent="0.2">
      <c r="G692" s="319"/>
    </row>
    <row r="693" spans="7:7" x14ac:dyDescent="0.2">
      <c r="G693" s="319"/>
    </row>
    <row r="694" spans="7:7" x14ac:dyDescent="0.2">
      <c r="G694" s="319"/>
    </row>
    <row r="695" spans="7:7" x14ac:dyDescent="0.2">
      <c r="G695" s="319"/>
    </row>
    <row r="696" spans="7:7" x14ac:dyDescent="0.2">
      <c r="G696" s="319"/>
    </row>
    <row r="697" spans="7:7" x14ac:dyDescent="0.2">
      <c r="G697" s="319"/>
    </row>
    <row r="698" spans="7:7" x14ac:dyDescent="0.2">
      <c r="G698" s="319"/>
    </row>
    <row r="699" spans="7:7" x14ac:dyDescent="0.2">
      <c r="G699" s="319"/>
    </row>
    <row r="700" spans="7:7" x14ac:dyDescent="0.2">
      <c r="G700" s="319"/>
    </row>
    <row r="701" spans="7:7" x14ac:dyDescent="0.2">
      <c r="G701" s="319"/>
    </row>
    <row r="702" spans="7:7" x14ac:dyDescent="0.2">
      <c r="G702" s="319"/>
    </row>
    <row r="703" spans="7:7" x14ac:dyDescent="0.2">
      <c r="G703" s="319"/>
    </row>
    <row r="704" spans="7:7" x14ac:dyDescent="0.2">
      <c r="G704" s="319"/>
    </row>
    <row r="705" spans="7:7" x14ac:dyDescent="0.2">
      <c r="G705" s="319"/>
    </row>
    <row r="706" spans="7:7" x14ac:dyDescent="0.2">
      <c r="G706" s="319"/>
    </row>
    <row r="707" spans="7:7" x14ac:dyDescent="0.2">
      <c r="G707" s="319"/>
    </row>
    <row r="708" spans="7:7" x14ac:dyDescent="0.2">
      <c r="G708" s="319"/>
    </row>
    <row r="709" spans="7:7" x14ac:dyDescent="0.2">
      <c r="G709" s="319"/>
    </row>
    <row r="710" spans="7:7" x14ac:dyDescent="0.2">
      <c r="G710" s="319"/>
    </row>
    <row r="711" spans="7:7" x14ac:dyDescent="0.2">
      <c r="G711" s="319"/>
    </row>
    <row r="712" spans="7:7" x14ac:dyDescent="0.2">
      <c r="G712" s="319"/>
    </row>
    <row r="713" spans="7:7" x14ac:dyDescent="0.2">
      <c r="G713" s="319"/>
    </row>
    <row r="714" spans="7:7" x14ac:dyDescent="0.2">
      <c r="G714" s="319"/>
    </row>
    <row r="715" spans="7:7" x14ac:dyDescent="0.2">
      <c r="G715" s="319"/>
    </row>
    <row r="716" spans="7:7" x14ac:dyDescent="0.2">
      <c r="G716" s="319"/>
    </row>
    <row r="717" spans="7:7" x14ac:dyDescent="0.2">
      <c r="G717" s="319"/>
    </row>
    <row r="718" spans="7:7" x14ac:dyDescent="0.2">
      <c r="G718" s="319"/>
    </row>
    <row r="719" spans="7:7" x14ac:dyDescent="0.2">
      <c r="G719" s="319"/>
    </row>
    <row r="720" spans="7:7" x14ac:dyDescent="0.2">
      <c r="G720" s="319"/>
    </row>
    <row r="721" spans="7:7" x14ac:dyDescent="0.2">
      <c r="G721" s="319"/>
    </row>
    <row r="722" spans="7:7" x14ac:dyDescent="0.2">
      <c r="G722" s="319"/>
    </row>
    <row r="723" spans="7:7" x14ac:dyDescent="0.2">
      <c r="G723" s="319"/>
    </row>
    <row r="724" spans="7:7" x14ac:dyDescent="0.2">
      <c r="G724" s="319"/>
    </row>
    <row r="725" spans="7:7" x14ac:dyDescent="0.2">
      <c r="G725" s="319"/>
    </row>
    <row r="726" spans="7:7" x14ac:dyDescent="0.2">
      <c r="G726" s="319"/>
    </row>
    <row r="727" spans="7:7" x14ac:dyDescent="0.2">
      <c r="G727" s="319"/>
    </row>
    <row r="728" spans="7:7" x14ac:dyDescent="0.2">
      <c r="G728" s="319"/>
    </row>
    <row r="729" spans="7:7" x14ac:dyDescent="0.2">
      <c r="G729" s="319"/>
    </row>
    <row r="730" spans="7:7" x14ac:dyDescent="0.2">
      <c r="G730" s="319"/>
    </row>
    <row r="731" spans="7:7" x14ac:dyDescent="0.2">
      <c r="G731" s="319"/>
    </row>
    <row r="732" spans="7:7" x14ac:dyDescent="0.2">
      <c r="G732" s="319"/>
    </row>
    <row r="733" spans="7:7" x14ac:dyDescent="0.2">
      <c r="G733" s="319"/>
    </row>
    <row r="734" spans="7:7" x14ac:dyDescent="0.2">
      <c r="G734" s="319"/>
    </row>
    <row r="735" spans="7:7" x14ac:dyDescent="0.2">
      <c r="G735" s="319"/>
    </row>
    <row r="736" spans="7:7" x14ac:dyDescent="0.2">
      <c r="G736" s="319"/>
    </row>
    <row r="737" spans="7:7" x14ac:dyDescent="0.2">
      <c r="G737" s="319"/>
    </row>
    <row r="738" spans="7:7" x14ac:dyDescent="0.2">
      <c r="G738" s="319"/>
    </row>
    <row r="739" spans="7:7" x14ac:dyDescent="0.2">
      <c r="G739" s="319"/>
    </row>
    <row r="740" spans="7:7" x14ac:dyDescent="0.2">
      <c r="G740" s="319"/>
    </row>
    <row r="741" spans="7:7" x14ac:dyDescent="0.2">
      <c r="G741" s="319"/>
    </row>
    <row r="742" spans="7:7" x14ac:dyDescent="0.2">
      <c r="G742" s="319"/>
    </row>
    <row r="743" spans="7:7" x14ac:dyDescent="0.2">
      <c r="G743" s="319"/>
    </row>
    <row r="744" spans="7:7" x14ac:dyDescent="0.2">
      <c r="G744" s="319"/>
    </row>
    <row r="745" spans="7:7" x14ac:dyDescent="0.2">
      <c r="G745" s="319"/>
    </row>
    <row r="746" spans="7:7" x14ac:dyDescent="0.2">
      <c r="G746" s="319"/>
    </row>
    <row r="747" spans="7:7" x14ac:dyDescent="0.2">
      <c r="G747" s="319"/>
    </row>
    <row r="748" spans="7:7" x14ac:dyDescent="0.2">
      <c r="G748" s="319"/>
    </row>
    <row r="749" spans="7:7" x14ac:dyDescent="0.2">
      <c r="G749" s="319"/>
    </row>
    <row r="750" spans="7:7" x14ac:dyDescent="0.2">
      <c r="G750" s="319"/>
    </row>
    <row r="751" spans="7:7" x14ac:dyDescent="0.2">
      <c r="G751" s="319"/>
    </row>
    <row r="752" spans="7:7" x14ac:dyDescent="0.2">
      <c r="G752" s="319"/>
    </row>
    <row r="753" spans="7:7" x14ac:dyDescent="0.2">
      <c r="G753" s="319"/>
    </row>
    <row r="754" spans="7:7" x14ac:dyDescent="0.2">
      <c r="G754" s="319"/>
    </row>
    <row r="755" spans="7:7" x14ac:dyDescent="0.2">
      <c r="G755" s="319"/>
    </row>
    <row r="756" spans="7:7" x14ac:dyDescent="0.2">
      <c r="G756" s="319"/>
    </row>
    <row r="757" spans="7:7" x14ac:dyDescent="0.2">
      <c r="G757" s="319"/>
    </row>
    <row r="758" spans="7:7" x14ac:dyDescent="0.2">
      <c r="G758" s="319"/>
    </row>
    <row r="759" spans="7:7" x14ac:dyDescent="0.2">
      <c r="G759" s="319"/>
    </row>
    <row r="760" spans="7:7" x14ac:dyDescent="0.2">
      <c r="G760" s="319"/>
    </row>
    <row r="761" spans="7:7" x14ac:dyDescent="0.2">
      <c r="G761" s="319"/>
    </row>
    <row r="762" spans="7:7" x14ac:dyDescent="0.2">
      <c r="G762" s="319"/>
    </row>
    <row r="763" spans="7:7" x14ac:dyDescent="0.2">
      <c r="G763" s="319"/>
    </row>
    <row r="764" spans="7:7" x14ac:dyDescent="0.2">
      <c r="G764" s="319"/>
    </row>
    <row r="765" spans="7:7" x14ac:dyDescent="0.2">
      <c r="G765" s="319"/>
    </row>
    <row r="766" spans="7:7" x14ac:dyDescent="0.2">
      <c r="G766" s="319"/>
    </row>
    <row r="767" spans="7:7" x14ac:dyDescent="0.2">
      <c r="G767" s="319"/>
    </row>
    <row r="768" spans="7:7" x14ac:dyDescent="0.2">
      <c r="G768" s="319"/>
    </row>
    <row r="769" spans="7:7" x14ac:dyDescent="0.2">
      <c r="G769" s="319"/>
    </row>
    <row r="770" spans="7:7" x14ac:dyDescent="0.2">
      <c r="G770" s="319"/>
    </row>
    <row r="771" spans="7:7" x14ac:dyDescent="0.2">
      <c r="G771" s="319"/>
    </row>
    <row r="772" spans="7:7" x14ac:dyDescent="0.2">
      <c r="G772" s="319"/>
    </row>
    <row r="773" spans="7:7" x14ac:dyDescent="0.2">
      <c r="G773" s="319"/>
    </row>
    <row r="774" spans="7:7" x14ac:dyDescent="0.2">
      <c r="G774" s="319"/>
    </row>
    <row r="775" spans="7:7" x14ac:dyDescent="0.2">
      <c r="G775" s="319"/>
    </row>
    <row r="776" spans="7:7" x14ac:dyDescent="0.2">
      <c r="G776" s="319"/>
    </row>
    <row r="777" spans="7:7" x14ac:dyDescent="0.2">
      <c r="G777" s="319"/>
    </row>
    <row r="778" spans="7:7" x14ac:dyDescent="0.2">
      <c r="G778" s="319"/>
    </row>
    <row r="779" spans="7:7" x14ac:dyDescent="0.2">
      <c r="G779" s="319"/>
    </row>
    <row r="780" spans="7:7" x14ac:dyDescent="0.2">
      <c r="G780" s="319"/>
    </row>
    <row r="781" spans="7:7" x14ac:dyDescent="0.2">
      <c r="G781" s="319"/>
    </row>
    <row r="782" spans="7:7" x14ac:dyDescent="0.2">
      <c r="G782" s="319"/>
    </row>
    <row r="783" spans="7:7" x14ac:dyDescent="0.2">
      <c r="G783" s="319"/>
    </row>
    <row r="784" spans="7:7" x14ac:dyDescent="0.2">
      <c r="G784" s="319"/>
    </row>
    <row r="785" spans="7:7" x14ac:dyDescent="0.2">
      <c r="G785" s="319"/>
    </row>
    <row r="786" spans="7:7" x14ac:dyDescent="0.2">
      <c r="G786" s="319"/>
    </row>
    <row r="787" spans="7:7" x14ac:dyDescent="0.2">
      <c r="G787" s="319"/>
    </row>
    <row r="788" spans="7:7" x14ac:dyDescent="0.2">
      <c r="G788" s="319"/>
    </row>
    <row r="789" spans="7:7" x14ac:dyDescent="0.2">
      <c r="G789" s="319"/>
    </row>
    <row r="790" spans="7:7" x14ac:dyDescent="0.2">
      <c r="G790" s="319"/>
    </row>
    <row r="791" spans="7:7" x14ac:dyDescent="0.2">
      <c r="G791" s="319"/>
    </row>
    <row r="792" spans="7:7" x14ac:dyDescent="0.2">
      <c r="G792" s="319"/>
    </row>
    <row r="793" spans="7:7" x14ac:dyDescent="0.2">
      <c r="G793" s="319"/>
    </row>
    <row r="794" spans="7:7" x14ac:dyDescent="0.2">
      <c r="G794" s="319"/>
    </row>
    <row r="795" spans="7:7" x14ac:dyDescent="0.2">
      <c r="G795" s="319"/>
    </row>
    <row r="796" spans="7:7" x14ac:dyDescent="0.2">
      <c r="G796" s="319"/>
    </row>
    <row r="797" spans="7:7" x14ac:dyDescent="0.2">
      <c r="G797" s="319"/>
    </row>
    <row r="798" spans="7:7" x14ac:dyDescent="0.2">
      <c r="G798" s="319"/>
    </row>
    <row r="799" spans="7:7" x14ac:dyDescent="0.2">
      <c r="G799" s="319"/>
    </row>
    <row r="800" spans="7:7" x14ac:dyDescent="0.2">
      <c r="G800" s="319"/>
    </row>
    <row r="801" spans="7:7" x14ac:dyDescent="0.2">
      <c r="G801" s="319"/>
    </row>
    <row r="802" spans="7:7" x14ac:dyDescent="0.2">
      <c r="G802" s="319"/>
    </row>
    <row r="803" spans="7:7" x14ac:dyDescent="0.2">
      <c r="G803" s="319"/>
    </row>
    <row r="804" spans="7:7" x14ac:dyDescent="0.2">
      <c r="G804" s="319"/>
    </row>
    <row r="805" spans="7:7" x14ac:dyDescent="0.2">
      <c r="G805" s="319"/>
    </row>
    <row r="806" spans="7:7" x14ac:dyDescent="0.2">
      <c r="G806" s="319"/>
    </row>
    <row r="807" spans="7:7" x14ac:dyDescent="0.2">
      <c r="G807" s="319"/>
    </row>
    <row r="808" spans="7:7" x14ac:dyDescent="0.2">
      <c r="G808" s="319"/>
    </row>
    <row r="809" spans="7:7" x14ac:dyDescent="0.2">
      <c r="G809" s="319"/>
    </row>
    <row r="810" spans="7:7" x14ac:dyDescent="0.2">
      <c r="G810" s="319"/>
    </row>
    <row r="811" spans="7:7" x14ac:dyDescent="0.2">
      <c r="G811" s="319"/>
    </row>
    <row r="812" spans="7:7" x14ac:dyDescent="0.2">
      <c r="G812" s="319"/>
    </row>
    <row r="813" spans="7:7" x14ac:dyDescent="0.2">
      <c r="G813" s="319"/>
    </row>
    <row r="814" spans="7:7" x14ac:dyDescent="0.2">
      <c r="G814" s="319"/>
    </row>
    <row r="815" spans="7:7" x14ac:dyDescent="0.2">
      <c r="G815" s="319"/>
    </row>
    <row r="816" spans="7:7" x14ac:dyDescent="0.2">
      <c r="G816" s="319"/>
    </row>
    <row r="817" spans="7:7" x14ac:dyDescent="0.2">
      <c r="G817" s="319"/>
    </row>
    <row r="818" spans="7:7" x14ac:dyDescent="0.2">
      <c r="G818" s="319"/>
    </row>
    <row r="819" spans="7:7" x14ac:dyDescent="0.2">
      <c r="G819" s="319"/>
    </row>
    <row r="820" spans="7:7" x14ac:dyDescent="0.2">
      <c r="G820" s="319"/>
    </row>
    <row r="821" spans="7:7" x14ac:dyDescent="0.2">
      <c r="G821" s="319"/>
    </row>
    <row r="822" spans="7:7" x14ac:dyDescent="0.2">
      <c r="G822" s="319"/>
    </row>
    <row r="823" spans="7:7" x14ac:dyDescent="0.2">
      <c r="G823" s="319"/>
    </row>
    <row r="824" spans="7:7" x14ac:dyDescent="0.2">
      <c r="G824" s="319"/>
    </row>
    <row r="825" spans="7:7" x14ac:dyDescent="0.2">
      <c r="G825" s="319"/>
    </row>
    <row r="826" spans="7:7" x14ac:dyDescent="0.2">
      <c r="G826" s="319"/>
    </row>
    <row r="827" spans="7:7" x14ac:dyDescent="0.2">
      <c r="G827" s="319"/>
    </row>
    <row r="828" spans="7:7" x14ac:dyDescent="0.2">
      <c r="G828" s="319"/>
    </row>
    <row r="829" spans="7:7" x14ac:dyDescent="0.2">
      <c r="G829" s="319"/>
    </row>
    <row r="830" spans="7:7" x14ac:dyDescent="0.2">
      <c r="G830" s="319"/>
    </row>
    <row r="831" spans="7:7" x14ac:dyDescent="0.2">
      <c r="G831" s="319"/>
    </row>
    <row r="832" spans="7:7" x14ac:dyDescent="0.2">
      <c r="G832" s="319"/>
    </row>
    <row r="833" spans="7:7" x14ac:dyDescent="0.2">
      <c r="G833" s="319"/>
    </row>
    <row r="834" spans="7:7" x14ac:dyDescent="0.2">
      <c r="G834" s="319"/>
    </row>
  </sheetData>
  <sheetProtection algorithmName="SHA-512" hashValue="fG5CqgB2MdDrdUWXE466RqGrFZIlMfFKvB7g9InPuEQ9+FJyAIA8qb2wGzts96VMPTomZLvmBsr3dxcRc/fS7A==" saltValue="C0/CAKSdJkRhpi9jw+ZKmA==" spinCount="100000" sheet="1" objects="1" scenarios="1"/>
  <conditionalFormatting sqref="B14:E63">
    <cfRule type="expression" dxfId="826" priority="9">
      <formula>$G14&gt;2</formula>
    </cfRule>
    <cfRule type="expression" dxfId="825" priority="10">
      <formula>IF(ISBLANK($D14)=TRUE,30,$D14)&lt;$J$1</formula>
    </cfRule>
  </conditionalFormatting>
  <conditionalFormatting sqref="P29:S63">
    <cfRule type="expression" dxfId="824" priority="5">
      <formula>$U29&gt;2</formula>
    </cfRule>
    <cfRule type="expression" dxfId="823" priority="6">
      <formula>IF(ISBLANK($R29)=TRUE,30,$R29)&lt;$Y$1</formula>
    </cfRule>
  </conditionalFormatting>
  <conditionalFormatting sqref="P14:S28">
    <cfRule type="expression" dxfId="822" priority="3">
      <formula>$G14&gt;2</formula>
    </cfRule>
    <cfRule type="expression" dxfId="821" priority="4">
      <formula>IF(ISBLANK($D14)=TRUE,30,$D14)&lt;$J$1</formula>
    </cfRule>
  </conditionalFormatting>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G93"/>
  <sheetViews>
    <sheetView showGridLines="0" workbookViewId="0">
      <pane ySplit="1" topLeftCell="A2" activePane="bottomLeft" state="frozen"/>
      <selection pane="bottomLeft" activeCell="C5" sqref="C5"/>
    </sheetView>
  </sheetViews>
  <sheetFormatPr defaultColWidth="8.85546875" defaultRowHeight="12.75" x14ac:dyDescent="0.2"/>
  <cols>
    <col min="1" max="1" width="8.85546875" style="1"/>
    <col min="2" max="2" width="31.140625" style="1" bestFit="1" customWidth="1"/>
    <col min="3" max="16384" width="8.85546875" style="1"/>
  </cols>
  <sheetData>
    <row r="1" spans="1:7" ht="13.5" thickBot="1" x14ac:dyDescent="0.25">
      <c r="A1" s="255" t="str">
        <f>'Tournament Info'!C14</f>
        <v>Number</v>
      </c>
      <c r="B1" s="256" t="str">
        <f>'Tournament Info'!B14</f>
        <v>School</v>
      </c>
      <c r="C1" s="258" t="s">
        <v>29</v>
      </c>
      <c r="D1" s="258" t="s">
        <v>35</v>
      </c>
      <c r="E1" s="258" t="s">
        <v>36</v>
      </c>
      <c r="F1" s="15" t="s">
        <v>31</v>
      </c>
    </row>
    <row r="2" spans="1:7" ht="13.5" thickBot="1" x14ac:dyDescent="0.25">
      <c r="A2" s="253">
        <f>'Tournament Info'!C15</f>
        <v>1001</v>
      </c>
      <c r="B2" s="254" t="str">
        <f>'Tournament Info'!B15</f>
        <v>Virginia</v>
      </c>
      <c r="C2" s="253">
        <f>'Ballot Entry'!X3</f>
        <v>4</v>
      </c>
      <c r="D2" s="253">
        <f>'Ballot Entry'!Z3</f>
        <v>21</v>
      </c>
      <c r="E2" s="253">
        <f>'Ballot Entry'!AB3</f>
        <v>64.5</v>
      </c>
      <c r="F2" s="253">
        <f>'Ballot Entry'!AC3</f>
        <v>2</v>
      </c>
      <c r="G2" s="261">
        <f>'Ballot Entry'!AD3</f>
        <v>0</v>
      </c>
    </row>
    <row r="3" spans="1:7" ht="13.5" thickBot="1" x14ac:dyDescent="0.25">
      <c r="A3" s="253">
        <f>'Tournament Info'!C16</f>
        <v>1029</v>
      </c>
      <c r="B3" s="254" t="str">
        <f>'Tournament Info'!B16</f>
        <v>Cornell</v>
      </c>
      <c r="C3" s="253">
        <f>'Ballot Entry'!X4</f>
        <v>4.5</v>
      </c>
      <c r="D3" s="253">
        <f>'Ballot Entry'!Z4</f>
        <v>16.5</v>
      </c>
      <c r="E3" s="253">
        <f>'Ballot Entry'!AB4</f>
        <v>68</v>
      </c>
      <c r="F3" s="253">
        <f>'Ballot Entry'!AC4</f>
        <v>13</v>
      </c>
      <c r="G3" s="261">
        <f>'Ballot Entry'!AD4</f>
        <v>0</v>
      </c>
    </row>
    <row r="4" spans="1:7" ht="13.5" thickBot="1" x14ac:dyDescent="0.25">
      <c r="A4" s="253">
        <f>'Tournament Info'!C17</f>
        <v>1051</v>
      </c>
      <c r="B4" s="254" t="str">
        <f>'Tournament Info'!B17</f>
        <v>Haverford</v>
      </c>
      <c r="C4" s="253">
        <f>'Ballot Entry'!X5</f>
        <v>1</v>
      </c>
      <c r="D4" s="253">
        <f>'Ballot Entry'!Z5</f>
        <v>16</v>
      </c>
      <c r="E4" s="253">
        <f>'Ballot Entry'!AB5</f>
        <v>54</v>
      </c>
      <c r="F4" s="253">
        <f>'Ballot Entry'!AC5</f>
        <v>-74</v>
      </c>
      <c r="G4" s="261">
        <f>'Ballot Entry'!AD5</f>
        <v>0</v>
      </c>
    </row>
    <row r="5" spans="1:7" ht="13.5" thickBot="1" x14ac:dyDescent="0.25">
      <c r="A5" s="253">
        <f>'Tournament Info'!C18</f>
        <v>1078</v>
      </c>
      <c r="B5" s="254" t="str">
        <f>'Tournament Info'!B18</f>
        <v>Rhodes</v>
      </c>
      <c r="C5" s="253">
        <f>'Ballot Entry'!X6</f>
        <v>4.5</v>
      </c>
      <c r="D5" s="253">
        <f>'Ballot Entry'!Z6</f>
        <v>19</v>
      </c>
      <c r="E5" s="253">
        <f>'Ballot Entry'!AB6</f>
        <v>69</v>
      </c>
      <c r="F5" s="253">
        <f>'Ballot Entry'!AC6</f>
        <v>15</v>
      </c>
      <c r="G5" s="261">
        <f>'Ballot Entry'!AD6</f>
        <v>0</v>
      </c>
    </row>
    <row r="6" spans="1:7" ht="13.5" thickBot="1" x14ac:dyDescent="0.25">
      <c r="A6" s="253">
        <f>'Tournament Info'!C19</f>
        <v>1217</v>
      </c>
      <c r="B6" s="254" t="str">
        <f>'Tournament Info'!B19</f>
        <v>Northwood</v>
      </c>
      <c r="C6" s="253">
        <f>'Ballot Entry'!X7</f>
        <v>2.5</v>
      </c>
      <c r="D6" s="253">
        <f>'Ballot Entry'!Z7</f>
        <v>12</v>
      </c>
      <c r="E6" s="253">
        <f>'Ballot Entry'!AB7</f>
        <v>59</v>
      </c>
      <c r="F6" s="253">
        <f>'Ballot Entry'!AC7</f>
        <v>-9</v>
      </c>
      <c r="G6" s="261">
        <f>'Ballot Entry'!AD7</f>
        <v>0</v>
      </c>
    </row>
    <row r="7" spans="1:7" ht="13.5" thickBot="1" x14ac:dyDescent="0.25">
      <c r="A7" s="253">
        <f>'Tournament Info'!C20</f>
        <v>1224</v>
      </c>
      <c r="B7" s="254" t="str">
        <f>'Tournament Info'!B20</f>
        <v>Michigan</v>
      </c>
      <c r="C7" s="253">
        <f>'Ballot Entry'!X8</f>
        <v>5</v>
      </c>
      <c r="D7" s="253">
        <f>'Ballot Entry'!Z8</f>
        <v>14</v>
      </c>
      <c r="E7" s="253">
        <f>'Ballot Entry'!AB8</f>
        <v>64.5</v>
      </c>
      <c r="F7" s="253">
        <f>'Ballot Entry'!AC8</f>
        <v>-13</v>
      </c>
      <c r="G7" s="261">
        <f>'Ballot Entry'!AD8</f>
        <v>0</v>
      </c>
    </row>
    <row r="8" spans="1:7" ht="13.5" thickBot="1" x14ac:dyDescent="0.25">
      <c r="A8" s="253">
        <f>'Tournament Info'!C21</f>
        <v>1258</v>
      </c>
      <c r="B8" s="254" t="str">
        <f>'Tournament Info'!B21</f>
        <v>UC Berkeley</v>
      </c>
      <c r="C8" s="253">
        <f>'Ballot Entry'!X9</f>
        <v>3</v>
      </c>
      <c r="D8" s="253">
        <f>'Ballot Entry'!Z9</f>
        <v>14.5</v>
      </c>
      <c r="E8" s="253">
        <f>'Ballot Entry'!AB9</f>
        <v>66</v>
      </c>
      <c r="F8" s="253">
        <f>'Ballot Entry'!AC9</f>
        <v>-4</v>
      </c>
      <c r="G8" s="261">
        <f>'Ballot Entry'!AD9</f>
        <v>0</v>
      </c>
    </row>
    <row r="9" spans="1:7" ht="13.5" thickBot="1" x14ac:dyDescent="0.25">
      <c r="A9" s="253">
        <f>'Tournament Info'!C22</f>
        <v>1262</v>
      </c>
      <c r="B9" s="254" t="str">
        <f>'Tournament Info'!B22</f>
        <v>Tufts</v>
      </c>
      <c r="C9" s="253">
        <f>'Ballot Entry'!X10</f>
        <v>3.5</v>
      </c>
      <c r="D9" s="253">
        <f>'Ballot Entry'!Z10</f>
        <v>17.5</v>
      </c>
      <c r="E9" s="253">
        <f>'Ballot Entry'!AB10</f>
        <v>69</v>
      </c>
      <c r="F9" s="253">
        <f>'Ballot Entry'!AC10</f>
        <v>-3</v>
      </c>
      <c r="G9" s="261">
        <f>'Ballot Entry'!AD10</f>
        <v>0</v>
      </c>
    </row>
    <row r="10" spans="1:7" ht="13.5" thickBot="1" x14ac:dyDescent="0.25">
      <c r="A10" s="253">
        <f>'Tournament Info'!C23</f>
        <v>1268</v>
      </c>
      <c r="B10" s="254" t="str">
        <f>'Tournament Info'!B23</f>
        <v>Columbia</v>
      </c>
      <c r="C10" s="253">
        <f>'Ballot Entry'!X11</f>
        <v>5</v>
      </c>
      <c r="D10" s="253">
        <f>'Ballot Entry'!Z11</f>
        <v>14.5</v>
      </c>
      <c r="E10" s="253">
        <f>'Ballot Entry'!AB11</f>
        <v>65.5</v>
      </c>
      <c r="F10" s="253">
        <f>'Ballot Entry'!AC11</f>
        <v>51</v>
      </c>
      <c r="G10" s="261">
        <f>'Ballot Entry'!AD11</f>
        <v>0</v>
      </c>
    </row>
    <row r="11" spans="1:7" ht="13.5" thickBot="1" x14ac:dyDescent="0.25">
      <c r="A11" s="253">
        <f>'Tournament Info'!C24</f>
        <v>1410</v>
      </c>
      <c r="B11" s="254" t="str">
        <f>'Tournament Info'!B24</f>
        <v>Ohio State</v>
      </c>
      <c r="C11" s="253">
        <f>'Ballot Entry'!X12</f>
        <v>3.5</v>
      </c>
      <c r="D11" s="253">
        <f>'Ballot Entry'!Z12</f>
        <v>12</v>
      </c>
      <c r="E11" s="253">
        <f>'Ballot Entry'!AB12</f>
        <v>59.5</v>
      </c>
      <c r="F11" s="253">
        <f>'Ballot Entry'!AC12</f>
        <v>11</v>
      </c>
      <c r="G11" s="261">
        <f>'Ballot Entry'!AD12</f>
        <v>0</v>
      </c>
    </row>
    <row r="12" spans="1:7" ht="13.5" thickBot="1" x14ac:dyDescent="0.25">
      <c r="A12" s="253">
        <f>'Tournament Info'!C25</f>
        <v>1489</v>
      </c>
      <c r="B12" s="254" t="str">
        <f>'Tournament Info'!B25</f>
        <v>Brown</v>
      </c>
      <c r="C12" s="253">
        <f>'Ballot Entry'!X13</f>
        <v>1</v>
      </c>
      <c r="D12" s="253">
        <f>'Ballot Entry'!Z13</f>
        <v>14</v>
      </c>
      <c r="E12" s="253">
        <f>'Ballot Entry'!AB13</f>
        <v>59</v>
      </c>
      <c r="F12" s="253">
        <f>'Ballot Entry'!AC13</f>
        <v>-47</v>
      </c>
      <c r="G12" s="261">
        <f>'Ballot Entry'!AD13</f>
        <v>0</v>
      </c>
    </row>
    <row r="13" spans="1:7" ht="13.5" thickBot="1" x14ac:dyDescent="0.25">
      <c r="A13" s="253">
        <f>'Tournament Info'!C26</f>
        <v>1492</v>
      </c>
      <c r="B13" s="254" t="str">
        <f>'Tournament Info'!B26</f>
        <v>UCLA</v>
      </c>
      <c r="C13" s="253">
        <f>'Ballot Entry'!X14</f>
        <v>4</v>
      </c>
      <c r="D13" s="253">
        <f>'Ballot Entry'!Z14</f>
        <v>16.5</v>
      </c>
      <c r="E13" s="253">
        <f>'Ballot Entry'!AB14</f>
        <v>60.5</v>
      </c>
      <c r="F13" s="253">
        <f>'Ballot Entry'!AC14</f>
        <v>-20</v>
      </c>
      <c r="G13" s="261">
        <f>'Ballot Entry'!AD14</f>
        <v>0</v>
      </c>
    </row>
    <row r="14" spans="1:7" ht="13.5" thickBot="1" x14ac:dyDescent="0.25">
      <c r="A14" s="253">
        <f>'Tournament Info'!C27</f>
        <v>1506</v>
      </c>
      <c r="B14" s="254" t="str">
        <f>'Tournament Info'!B27</f>
        <v>New York</v>
      </c>
      <c r="C14" s="253">
        <f>'Ballot Entry'!X15</f>
        <v>6</v>
      </c>
      <c r="D14" s="253">
        <f>'Ballot Entry'!Z15</f>
        <v>20</v>
      </c>
      <c r="E14" s="253">
        <f>'Ballot Entry'!AB15</f>
        <v>71.5</v>
      </c>
      <c r="F14" s="253">
        <f>'Ballot Entry'!AC15</f>
        <v>40</v>
      </c>
      <c r="G14" s="261">
        <f>'Ballot Entry'!AD15</f>
        <v>0</v>
      </c>
    </row>
    <row r="15" spans="1:7" ht="13.5" thickBot="1" x14ac:dyDescent="0.25">
      <c r="A15" s="253">
        <f>'Tournament Info'!C28</f>
        <v>1517</v>
      </c>
      <c r="B15" s="254" t="str">
        <f>'Tournament Info'!B28</f>
        <v>UC Irvine</v>
      </c>
      <c r="C15" s="253">
        <f>'Ballot Entry'!X16</f>
        <v>4.5</v>
      </c>
      <c r="D15" s="253">
        <f>'Ballot Entry'!Z16</f>
        <v>17</v>
      </c>
      <c r="E15" s="253">
        <f>'Ballot Entry'!AB16</f>
        <v>63</v>
      </c>
      <c r="F15" s="253">
        <f>'Ballot Entry'!AC16</f>
        <v>-10</v>
      </c>
      <c r="G15" s="261">
        <f>'Ballot Entry'!AD16</f>
        <v>0</v>
      </c>
    </row>
    <row r="16" spans="1:7" ht="13.5" thickBot="1" x14ac:dyDescent="0.25">
      <c r="A16" s="253">
        <f>'Tournament Info'!C29</f>
        <v>1557</v>
      </c>
      <c r="B16" s="254" t="str">
        <f>'Tournament Info'!B29</f>
        <v>Harvard</v>
      </c>
      <c r="C16" s="253">
        <f>'Ballot Entry'!X17</f>
        <v>4</v>
      </c>
      <c r="D16" s="253">
        <f>'Ballot Entry'!Z17</f>
        <v>16.5</v>
      </c>
      <c r="E16" s="253">
        <f>'Ballot Entry'!AB17</f>
        <v>62.5</v>
      </c>
      <c r="F16" s="253">
        <f>'Ballot Entry'!AC17</f>
        <v>7</v>
      </c>
      <c r="G16" s="261">
        <f>'Ballot Entry'!AD17</f>
        <v>0</v>
      </c>
    </row>
    <row r="17" spans="1:7" ht="13.5" thickBot="1" x14ac:dyDescent="0.25">
      <c r="A17" s="253">
        <f>'Tournament Info'!C30</f>
        <v>1577</v>
      </c>
      <c r="B17" s="254" t="str">
        <f>'Tournament Info'!B30</f>
        <v>Yale</v>
      </c>
      <c r="C17" s="253">
        <f>'Ballot Entry'!X18</f>
        <v>7.5</v>
      </c>
      <c r="D17" s="253">
        <f>'Ballot Entry'!Z18</f>
        <v>13.5</v>
      </c>
      <c r="E17" s="253">
        <f>'Ballot Entry'!AB18</f>
        <v>70.5</v>
      </c>
      <c r="F17" s="253">
        <f>'Ballot Entry'!AC18</f>
        <v>48</v>
      </c>
      <c r="G17" s="261">
        <f>'Ballot Entry'!AD18</f>
        <v>0</v>
      </c>
    </row>
    <row r="18" spans="1:7" ht="13.5" thickBot="1" x14ac:dyDescent="0.25">
      <c r="A18" s="253">
        <f>'Tournament Info'!C31</f>
        <v>1616</v>
      </c>
      <c r="B18" s="254" t="str">
        <f>'Tournament Info'!B31</f>
        <v>Chicago</v>
      </c>
      <c r="C18" s="253">
        <f>'Ballot Entry'!X19</f>
        <v>6.5</v>
      </c>
      <c r="D18" s="253">
        <f>'Ballot Entry'!Z19</f>
        <v>17.5</v>
      </c>
      <c r="E18" s="253">
        <f>'Ballot Entry'!AB19</f>
        <v>66</v>
      </c>
      <c r="F18" s="253">
        <f>'Ballot Entry'!AC19</f>
        <v>18</v>
      </c>
      <c r="G18" s="261">
        <f>'Ballot Entry'!AD19</f>
        <v>0</v>
      </c>
    </row>
    <row r="19" spans="1:7" ht="13.5" thickBot="1" x14ac:dyDescent="0.25">
      <c r="A19" s="253">
        <f>'Tournament Info'!C32</f>
        <v>1693</v>
      </c>
      <c r="B19" s="254" t="str">
        <f>'Tournament Info'!B32</f>
        <v>Northwestern</v>
      </c>
      <c r="C19" s="253">
        <f>'Ballot Entry'!X20</f>
        <v>2</v>
      </c>
      <c r="D19" s="253">
        <f>'Ballot Entry'!Z20</f>
        <v>16</v>
      </c>
      <c r="E19" s="253">
        <f>'Ballot Entry'!AB20</f>
        <v>60</v>
      </c>
      <c r="F19" s="253">
        <f>'Ballot Entry'!AC20</f>
        <v>-25</v>
      </c>
      <c r="G19" s="261">
        <f>'Ballot Entry'!AD20</f>
        <v>0</v>
      </c>
    </row>
    <row r="20" spans="1:7" ht="13.5" thickBot="1" x14ac:dyDescent="0.25">
      <c r="A20" s="253">
        <f>'Tournament Info'!C33</f>
        <v>0</v>
      </c>
      <c r="B20" s="254">
        <f>'Tournament Info'!B33</f>
        <v>0</v>
      </c>
      <c r="C20" s="253">
        <f>'Ballot Entry'!X21</f>
        <v>0</v>
      </c>
      <c r="D20" s="253">
        <f>'Ballot Entry'!Z21</f>
        <v>0</v>
      </c>
      <c r="E20" s="253">
        <f>'Ballot Entry'!AB21</f>
        <v>0</v>
      </c>
      <c r="F20" s="253">
        <f>'Ballot Entry'!AC21</f>
        <v>0</v>
      </c>
      <c r="G20" s="261">
        <f>'Ballot Entry'!AD21</f>
        <v>0</v>
      </c>
    </row>
    <row r="21" spans="1:7" ht="13.5" thickBot="1" x14ac:dyDescent="0.25">
      <c r="A21" s="253">
        <f>'Tournament Info'!C34</f>
        <v>0</v>
      </c>
      <c r="B21" s="254">
        <f>'Tournament Info'!B34</f>
        <v>0</v>
      </c>
      <c r="C21" s="253">
        <f>'Ballot Entry'!X22</f>
        <v>0</v>
      </c>
      <c r="D21" s="253">
        <f>'Ballot Entry'!Z22</f>
        <v>0</v>
      </c>
      <c r="E21" s="253">
        <f>'Ballot Entry'!AB22</f>
        <v>0</v>
      </c>
      <c r="F21" s="253">
        <f>'Ballot Entry'!AC22</f>
        <v>0</v>
      </c>
      <c r="G21" s="261">
        <f>'Ballot Entry'!AD22</f>
        <v>0</v>
      </c>
    </row>
    <row r="22" spans="1:7" ht="13.5" thickBot="1" x14ac:dyDescent="0.25">
      <c r="A22" s="253">
        <f>'Tournament Info'!C35</f>
        <v>0</v>
      </c>
      <c r="B22" s="254">
        <f>'Tournament Info'!B35</f>
        <v>0</v>
      </c>
      <c r="C22" s="253">
        <f>'Ballot Entry'!X23</f>
        <v>0</v>
      </c>
      <c r="D22" s="253">
        <f>'Ballot Entry'!Z23</f>
        <v>0</v>
      </c>
      <c r="E22" s="253">
        <f>'Ballot Entry'!AB23</f>
        <v>0</v>
      </c>
      <c r="F22" s="253">
        <f>'Ballot Entry'!AC23</f>
        <v>0</v>
      </c>
      <c r="G22" s="261">
        <f>'Ballot Entry'!AD23</f>
        <v>0</v>
      </c>
    </row>
    <row r="23" spans="1:7" ht="13.5" thickBot="1" x14ac:dyDescent="0.25">
      <c r="A23" s="253">
        <f>'Tournament Info'!C36</f>
        <v>0</v>
      </c>
      <c r="B23" s="254">
        <f>'Tournament Info'!B36</f>
        <v>0</v>
      </c>
      <c r="C23" s="253">
        <f>'Ballot Entry'!X24</f>
        <v>0</v>
      </c>
      <c r="D23" s="253">
        <f>'Ballot Entry'!Z24</f>
        <v>0</v>
      </c>
      <c r="E23" s="253">
        <f>'Ballot Entry'!AB24</f>
        <v>0</v>
      </c>
      <c r="F23" s="253">
        <f>'Ballot Entry'!AC24</f>
        <v>0</v>
      </c>
      <c r="G23" s="261">
        <f>'Ballot Entry'!AD24</f>
        <v>0</v>
      </c>
    </row>
    <row r="24" spans="1:7" ht="13.5" thickBot="1" x14ac:dyDescent="0.25">
      <c r="A24" s="253">
        <f>'Tournament Info'!C37</f>
        <v>0</v>
      </c>
      <c r="B24" s="254">
        <f>'Tournament Info'!B37</f>
        <v>0</v>
      </c>
      <c r="C24" s="253">
        <f>'Ballot Entry'!X25</f>
        <v>0</v>
      </c>
      <c r="D24" s="253">
        <f>'Ballot Entry'!Z25</f>
        <v>0</v>
      </c>
      <c r="E24" s="253">
        <f>'Ballot Entry'!AB25</f>
        <v>0</v>
      </c>
      <c r="F24" s="253">
        <f>'Ballot Entry'!AC25</f>
        <v>0</v>
      </c>
      <c r="G24" s="261">
        <f>'Ballot Entry'!AD25</f>
        <v>0</v>
      </c>
    </row>
    <row r="25" spans="1:7" ht="13.5" thickBot="1" x14ac:dyDescent="0.25">
      <c r="A25" s="253">
        <f>'Tournament Info'!C38</f>
        <v>0</v>
      </c>
      <c r="B25" s="254">
        <f>'Tournament Info'!B38</f>
        <v>0</v>
      </c>
      <c r="C25" s="253">
        <f>'Ballot Entry'!X26</f>
        <v>0</v>
      </c>
      <c r="D25" s="253">
        <f>'Ballot Entry'!Z26</f>
        <v>0</v>
      </c>
      <c r="E25" s="253">
        <f>'Ballot Entry'!AB26</f>
        <v>0</v>
      </c>
      <c r="F25" s="253">
        <f>'Ballot Entry'!AC26</f>
        <v>0</v>
      </c>
      <c r="G25" s="261">
        <f>'Ballot Entry'!AD26</f>
        <v>0</v>
      </c>
    </row>
    <row r="26" spans="1:7" ht="13.5" thickBot="1" x14ac:dyDescent="0.25">
      <c r="A26" s="253">
        <f>'Tournament Info'!C39</f>
        <v>0</v>
      </c>
      <c r="B26" s="254">
        <f>'Tournament Info'!B39</f>
        <v>0</v>
      </c>
      <c r="C26" s="253">
        <f>'Ballot Entry'!X27</f>
        <v>0</v>
      </c>
      <c r="D26" s="253">
        <f>'Ballot Entry'!Z27</f>
        <v>0</v>
      </c>
      <c r="E26" s="253">
        <f>'Ballot Entry'!AB27</f>
        <v>0</v>
      </c>
      <c r="F26" s="253">
        <f>'Ballot Entry'!AC27</f>
        <v>0</v>
      </c>
      <c r="G26" s="261">
        <f>'Ballot Entry'!AD27</f>
        <v>0</v>
      </c>
    </row>
    <row r="27" spans="1:7" ht="13.5" thickBot="1" x14ac:dyDescent="0.25">
      <c r="A27" s="253">
        <f>'Tournament Info'!C40</f>
        <v>0</v>
      </c>
      <c r="B27" s="254">
        <f>'Tournament Info'!B40</f>
        <v>0</v>
      </c>
      <c r="C27" s="253">
        <f>'Ballot Entry'!X28</f>
        <v>0</v>
      </c>
      <c r="D27" s="253">
        <f>'Ballot Entry'!Z28</f>
        <v>0</v>
      </c>
      <c r="E27" s="253">
        <f>'Ballot Entry'!AB28</f>
        <v>0</v>
      </c>
      <c r="F27" s="253">
        <f>'Ballot Entry'!AC28</f>
        <v>0</v>
      </c>
      <c r="G27" s="261">
        <f>'Ballot Entry'!AD28</f>
        <v>0</v>
      </c>
    </row>
    <row r="28" spans="1:7" ht="13.5" thickBot="1" x14ac:dyDescent="0.25">
      <c r="A28" s="253">
        <f>'Tournament Info'!C41</f>
        <v>0</v>
      </c>
      <c r="B28" s="254">
        <f>'Tournament Info'!B41</f>
        <v>0</v>
      </c>
      <c r="C28" s="253">
        <f>'Ballot Entry'!X29</f>
        <v>0</v>
      </c>
      <c r="D28" s="253">
        <f>'Ballot Entry'!Z29</f>
        <v>0</v>
      </c>
      <c r="E28" s="253">
        <f>'Ballot Entry'!AB29</f>
        <v>0</v>
      </c>
      <c r="F28" s="253">
        <f>'Ballot Entry'!AC29</f>
        <v>0</v>
      </c>
      <c r="G28" s="261">
        <f>'Ballot Entry'!AD29</f>
        <v>0</v>
      </c>
    </row>
    <row r="29" spans="1:7" ht="13.5" thickBot="1" x14ac:dyDescent="0.25">
      <c r="A29" s="253">
        <f>'Tournament Info'!C42</f>
        <v>0</v>
      </c>
      <c r="B29" s="254">
        <f>'Tournament Info'!B42</f>
        <v>0</v>
      </c>
      <c r="C29" s="253">
        <f>'Ballot Entry'!X30</f>
        <v>0</v>
      </c>
      <c r="D29" s="253">
        <f>'Ballot Entry'!Z30</f>
        <v>0</v>
      </c>
      <c r="E29" s="253">
        <f>'Ballot Entry'!AB30</f>
        <v>0</v>
      </c>
      <c r="F29" s="253">
        <f>'Ballot Entry'!AC30</f>
        <v>0</v>
      </c>
      <c r="G29" s="261">
        <f>'Ballot Entry'!AD30</f>
        <v>0</v>
      </c>
    </row>
    <row r="30" spans="1:7" ht="13.5" thickBot="1" x14ac:dyDescent="0.25">
      <c r="A30" s="253">
        <f>'Tournament Info'!C43</f>
        <v>0</v>
      </c>
      <c r="B30" s="254">
        <f>'Tournament Info'!B43</f>
        <v>0</v>
      </c>
      <c r="C30" s="253">
        <f>'Ballot Entry'!X31</f>
        <v>0</v>
      </c>
      <c r="D30" s="253">
        <f>'Ballot Entry'!Z31</f>
        <v>0</v>
      </c>
      <c r="E30" s="253">
        <f>'Ballot Entry'!AB31</f>
        <v>0</v>
      </c>
      <c r="F30" s="253">
        <f>'Ballot Entry'!AC31</f>
        <v>0</v>
      </c>
      <c r="G30" s="261">
        <f>'Ballot Entry'!AD31</f>
        <v>0</v>
      </c>
    </row>
    <row r="31" spans="1:7" ht="13.5" thickBot="1" x14ac:dyDescent="0.25">
      <c r="A31" s="253">
        <f>'Tournament Info'!C44</f>
        <v>0</v>
      </c>
      <c r="B31" s="254">
        <f>'Tournament Info'!B44</f>
        <v>0</v>
      </c>
      <c r="C31" s="253">
        <f>'Ballot Entry'!X32</f>
        <v>0</v>
      </c>
      <c r="D31" s="253">
        <f>'Ballot Entry'!Z32</f>
        <v>0</v>
      </c>
      <c r="E31" s="253">
        <f>'Ballot Entry'!AB32</f>
        <v>0</v>
      </c>
      <c r="F31" s="253">
        <f>'Ballot Entry'!AC32</f>
        <v>0</v>
      </c>
      <c r="G31" s="261">
        <f>'Ballot Entry'!AD32</f>
        <v>0</v>
      </c>
    </row>
    <row r="32" spans="1:7" ht="13.5" thickBot="1" x14ac:dyDescent="0.25">
      <c r="A32" s="253">
        <f>'Tournament Info'!C45</f>
        <v>0</v>
      </c>
      <c r="B32" s="254">
        <f>'Tournament Info'!B45</f>
        <v>0</v>
      </c>
      <c r="C32" s="253">
        <f>'Ballot Entry'!X33</f>
        <v>0</v>
      </c>
      <c r="D32" s="253">
        <f>'Ballot Entry'!Z33</f>
        <v>0</v>
      </c>
      <c r="E32" s="253">
        <f>'Ballot Entry'!AB33</f>
        <v>0</v>
      </c>
      <c r="F32" s="253">
        <f>'Ballot Entry'!AC33</f>
        <v>0</v>
      </c>
      <c r="G32" s="261">
        <f>'Ballot Entry'!AD33</f>
        <v>0</v>
      </c>
    </row>
    <row r="33" spans="1:7" ht="13.5" thickBot="1" x14ac:dyDescent="0.25">
      <c r="A33" s="253">
        <f>'Tournament Info'!C46</f>
        <v>0</v>
      </c>
      <c r="B33" s="254">
        <f>'Tournament Info'!B46</f>
        <v>0</v>
      </c>
      <c r="C33" s="253">
        <f>'Ballot Entry'!X34</f>
        <v>0</v>
      </c>
      <c r="D33" s="253">
        <f>'Ballot Entry'!Z34</f>
        <v>0</v>
      </c>
      <c r="E33" s="253">
        <f>'Ballot Entry'!AB34</f>
        <v>0</v>
      </c>
      <c r="F33" s="253">
        <f>'Ballot Entry'!AC34</f>
        <v>0</v>
      </c>
      <c r="G33" s="261">
        <f>'Ballot Entry'!AD34</f>
        <v>0</v>
      </c>
    </row>
    <row r="34" spans="1:7" ht="13.5" thickBot="1" x14ac:dyDescent="0.25">
      <c r="A34" s="253">
        <f>'Tournament Info'!C47</f>
        <v>0</v>
      </c>
      <c r="B34" s="254">
        <f>'Tournament Info'!B47</f>
        <v>0</v>
      </c>
      <c r="C34" s="253">
        <f>'Ballot Entry'!X35</f>
        <v>0</v>
      </c>
      <c r="D34" s="253">
        <f>'Ballot Entry'!Z35</f>
        <v>0</v>
      </c>
      <c r="E34" s="253">
        <f>'Ballot Entry'!AB35</f>
        <v>0</v>
      </c>
      <c r="F34" s="253">
        <f>'Ballot Entry'!AC35</f>
        <v>0</v>
      </c>
      <c r="G34" s="261">
        <f>'Ballot Entry'!AD35</f>
        <v>0</v>
      </c>
    </row>
    <row r="35" spans="1:7" ht="13.5" thickBot="1" x14ac:dyDescent="0.25">
      <c r="A35" s="253">
        <f>'Tournament Info'!C48</f>
        <v>0</v>
      </c>
      <c r="B35" s="254">
        <f>'Tournament Info'!B48</f>
        <v>0</v>
      </c>
      <c r="C35" s="253">
        <f>'Ballot Entry'!X36</f>
        <v>0</v>
      </c>
      <c r="D35" s="253">
        <f>'Ballot Entry'!Z36</f>
        <v>0</v>
      </c>
      <c r="E35" s="253">
        <f>'Ballot Entry'!AB36</f>
        <v>0</v>
      </c>
      <c r="F35" s="253">
        <f>'Ballot Entry'!AC36</f>
        <v>0</v>
      </c>
      <c r="G35" s="261">
        <f>'Ballot Entry'!AD36</f>
        <v>0</v>
      </c>
    </row>
    <row r="36" spans="1:7" ht="13.5" thickBot="1" x14ac:dyDescent="0.25">
      <c r="A36" s="253">
        <f>'Tournament Info'!C49</f>
        <v>0</v>
      </c>
      <c r="B36" s="254">
        <f>'Tournament Info'!B49</f>
        <v>0</v>
      </c>
      <c r="C36" s="253">
        <f>'Ballot Entry'!X37</f>
        <v>0</v>
      </c>
      <c r="D36" s="253">
        <f>'Ballot Entry'!Z37</f>
        <v>0</v>
      </c>
      <c r="E36" s="253">
        <f>'Ballot Entry'!AB37</f>
        <v>0</v>
      </c>
      <c r="F36" s="253">
        <f>'Ballot Entry'!AC37</f>
        <v>0</v>
      </c>
      <c r="G36" s="261">
        <f>'Ballot Entry'!AD37</f>
        <v>0</v>
      </c>
    </row>
    <row r="37" spans="1:7" ht="13.5" thickBot="1" x14ac:dyDescent="0.25">
      <c r="A37" s="253">
        <f>'Tournament Info'!C50</f>
        <v>0</v>
      </c>
      <c r="B37" s="254">
        <f>'Tournament Info'!B50</f>
        <v>0</v>
      </c>
      <c r="C37" s="253">
        <f>'Ballot Entry'!X38</f>
        <v>0</v>
      </c>
      <c r="D37" s="253">
        <f>'Ballot Entry'!Z38</f>
        <v>0</v>
      </c>
      <c r="E37" s="253">
        <f>'Ballot Entry'!AB38</f>
        <v>0</v>
      </c>
      <c r="F37" s="253">
        <f>'Ballot Entry'!AC38</f>
        <v>0</v>
      </c>
      <c r="G37" s="261">
        <f>'Ballot Entry'!AD38</f>
        <v>0</v>
      </c>
    </row>
    <row r="38" spans="1:7" ht="13.5" thickBot="1" x14ac:dyDescent="0.25">
      <c r="A38" s="253">
        <f>'Tournament Info'!C51</f>
        <v>0</v>
      </c>
      <c r="B38" s="254">
        <f>'Tournament Info'!B51</f>
        <v>0</v>
      </c>
      <c r="C38" s="253">
        <f>'Ballot Entry'!X39</f>
        <v>0</v>
      </c>
      <c r="D38" s="253">
        <f>'Ballot Entry'!Z39</f>
        <v>0</v>
      </c>
      <c r="E38" s="253">
        <f>'Ballot Entry'!AB39</f>
        <v>0</v>
      </c>
      <c r="F38" s="253">
        <f>'Ballot Entry'!AC39</f>
        <v>0</v>
      </c>
      <c r="G38" s="261">
        <f>'Ballot Entry'!AD39</f>
        <v>0</v>
      </c>
    </row>
    <row r="39" spans="1:7" ht="13.5" thickBot="1" x14ac:dyDescent="0.25">
      <c r="A39" s="253">
        <f>'Tournament Info'!C52</f>
        <v>0</v>
      </c>
      <c r="B39" s="254">
        <f>'Tournament Info'!B52</f>
        <v>0</v>
      </c>
      <c r="C39" s="253">
        <f>'Ballot Entry'!X40</f>
        <v>0</v>
      </c>
      <c r="D39" s="253">
        <f>'Ballot Entry'!Z40</f>
        <v>0</v>
      </c>
      <c r="E39" s="253">
        <f>'Ballot Entry'!AB40</f>
        <v>0</v>
      </c>
      <c r="F39" s="253">
        <f>'Ballot Entry'!AC40</f>
        <v>0</v>
      </c>
      <c r="G39" s="261">
        <f>'Ballot Entry'!AD40</f>
        <v>0</v>
      </c>
    </row>
    <row r="40" spans="1:7" ht="13.5" thickBot="1" x14ac:dyDescent="0.25">
      <c r="A40" s="253">
        <f>'Tournament Info'!C53</f>
        <v>0</v>
      </c>
      <c r="B40" s="254">
        <f>'Tournament Info'!B53</f>
        <v>0</v>
      </c>
      <c r="C40" s="253">
        <f>'Ballot Entry'!X41</f>
        <v>0</v>
      </c>
      <c r="D40" s="253">
        <f>'Ballot Entry'!Z41</f>
        <v>0</v>
      </c>
      <c r="E40" s="253">
        <f>'Ballot Entry'!AB41</f>
        <v>0</v>
      </c>
      <c r="F40" s="253">
        <f>'Ballot Entry'!AC41</f>
        <v>0</v>
      </c>
      <c r="G40" s="261">
        <f>'Ballot Entry'!AD41</f>
        <v>0</v>
      </c>
    </row>
    <row r="41" spans="1:7" ht="13.5" thickBot="1" x14ac:dyDescent="0.25">
      <c r="A41" s="253">
        <f>'Tournament Info'!C54</f>
        <v>0</v>
      </c>
      <c r="B41" s="254">
        <f>'Tournament Info'!B54</f>
        <v>0</v>
      </c>
      <c r="C41" s="253">
        <f>'Ballot Entry'!X42</f>
        <v>0</v>
      </c>
      <c r="D41" s="253">
        <f>'Ballot Entry'!Z42</f>
        <v>0</v>
      </c>
      <c r="E41" s="253">
        <f>'Ballot Entry'!AB42</f>
        <v>0</v>
      </c>
      <c r="F41" s="253">
        <f>'Ballot Entry'!AC42</f>
        <v>0</v>
      </c>
      <c r="G41" s="261">
        <f>'Ballot Entry'!AD42</f>
        <v>0</v>
      </c>
    </row>
    <row r="42" spans="1:7" ht="13.5" thickBot="1" x14ac:dyDescent="0.25">
      <c r="A42" s="253">
        <f>'Tournament Info'!C55</f>
        <v>0</v>
      </c>
      <c r="B42" s="254">
        <f>'Tournament Info'!B55</f>
        <v>0</v>
      </c>
      <c r="C42" s="253">
        <f>'Ballot Entry'!X43</f>
        <v>0</v>
      </c>
      <c r="D42" s="253">
        <f>'Ballot Entry'!Z43</f>
        <v>0</v>
      </c>
      <c r="E42" s="253">
        <f>'Ballot Entry'!AB43</f>
        <v>0</v>
      </c>
      <c r="F42" s="253">
        <f>'Ballot Entry'!AC43</f>
        <v>0</v>
      </c>
      <c r="G42" s="261">
        <f>'Ballot Entry'!AD43</f>
        <v>0</v>
      </c>
    </row>
    <row r="43" spans="1:7" ht="13.5" thickBot="1" x14ac:dyDescent="0.25">
      <c r="A43" s="253">
        <f>'Tournament Info'!C56</f>
        <v>0</v>
      </c>
      <c r="B43" s="254">
        <f>'Tournament Info'!B56</f>
        <v>0</v>
      </c>
      <c r="C43" s="253">
        <f>'Ballot Entry'!X44</f>
        <v>0</v>
      </c>
      <c r="D43" s="253">
        <f>'Ballot Entry'!Z44</f>
        <v>0</v>
      </c>
      <c r="E43" s="253">
        <f>'Ballot Entry'!AB44</f>
        <v>0</v>
      </c>
      <c r="F43" s="253">
        <f>'Ballot Entry'!AC44</f>
        <v>0</v>
      </c>
      <c r="G43" s="261">
        <f>'Ballot Entry'!AD44</f>
        <v>0</v>
      </c>
    </row>
    <row r="44" spans="1:7" ht="13.5" thickBot="1" x14ac:dyDescent="0.25">
      <c r="A44" s="253">
        <f>'Tournament Info'!C57</f>
        <v>0</v>
      </c>
      <c r="B44" s="254">
        <f>'Tournament Info'!B57</f>
        <v>0</v>
      </c>
      <c r="C44" s="253">
        <f>'Ballot Entry'!X45</f>
        <v>0</v>
      </c>
      <c r="D44" s="253">
        <f>'Ballot Entry'!Z45</f>
        <v>0</v>
      </c>
      <c r="E44" s="253">
        <f>'Ballot Entry'!AB45</f>
        <v>0</v>
      </c>
      <c r="F44" s="253">
        <f>'Ballot Entry'!AC45</f>
        <v>0</v>
      </c>
      <c r="G44" s="261">
        <f>'Ballot Entry'!AD45</f>
        <v>0</v>
      </c>
    </row>
    <row r="45" spans="1:7" ht="13.5" thickBot="1" x14ac:dyDescent="0.25">
      <c r="A45" s="253">
        <f>'Tournament Info'!C58</f>
        <v>0</v>
      </c>
      <c r="B45" s="254">
        <f>'Tournament Info'!B58</f>
        <v>0</v>
      </c>
      <c r="C45" s="253">
        <f>'Ballot Entry'!X46</f>
        <v>0</v>
      </c>
      <c r="D45" s="253">
        <f>'Ballot Entry'!Z46</f>
        <v>0</v>
      </c>
      <c r="E45" s="253">
        <f>'Ballot Entry'!AB46</f>
        <v>0</v>
      </c>
      <c r="F45" s="253">
        <f>'Ballot Entry'!AC46</f>
        <v>0</v>
      </c>
      <c r="G45" s="261">
        <f>'Ballot Entry'!AD46</f>
        <v>0</v>
      </c>
    </row>
    <row r="46" spans="1:7" ht="13.5" thickBot="1" x14ac:dyDescent="0.25">
      <c r="A46" s="253">
        <f>'Tournament Info'!C59</f>
        <v>0</v>
      </c>
      <c r="B46" s="254">
        <f>'Tournament Info'!B59</f>
        <v>0</v>
      </c>
      <c r="C46" s="253">
        <f>'Ballot Entry'!X47</f>
        <v>0</v>
      </c>
      <c r="D46" s="253">
        <f>'Ballot Entry'!Z47</f>
        <v>0</v>
      </c>
      <c r="E46" s="253">
        <f>'Ballot Entry'!AB47</f>
        <v>0</v>
      </c>
      <c r="F46" s="253">
        <f>'Ballot Entry'!AC47</f>
        <v>0</v>
      </c>
      <c r="G46" s="261">
        <f>'Ballot Entry'!AD47</f>
        <v>0</v>
      </c>
    </row>
    <row r="47" spans="1:7" ht="13.5" thickBot="1" x14ac:dyDescent="0.25">
      <c r="A47" s="253">
        <f>'Tournament Info'!C60</f>
        <v>0</v>
      </c>
      <c r="B47" s="254">
        <f>'Tournament Info'!B60</f>
        <v>0</v>
      </c>
      <c r="C47" s="253">
        <f>'Ballot Entry'!X48</f>
        <v>0</v>
      </c>
      <c r="D47" s="253">
        <f>'Ballot Entry'!Z48</f>
        <v>0</v>
      </c>
      <c r="E47" s="253">
        <f>'Ballot Entry'!AB48</f>
        <v>0</v>
      </c>
      <c r="F47" s="253">
        <f>'Ballot Entry'!AC48</f>
        <v>0</v>
      </c>
      <c r="G47" s="261">
        <f>'Ballot Entry'!AD48</f>
        <v>0</v>
      </c>
    </row>
    <row r="48" spans="1:7" ht="13.5" thickBot="1" x14ac:dyDescent="0.25">
      <c r="A48" s="253">
        <f>'Tournament Info'!C61</f>
        <v>0</v>
      </c>
      <c r="B48" s="254">
        <f>'Tournament Info'!B61</f>
        <v>0</v>
      </c>
      <c r="C48" s="253">
        <f>'Ballot Entry'!X49</f>
        <v>0</v>
      </c>
      <c r="D48" s="253">
        <f>'Ballot Entry'!Z49</f>
        <v>0</v>
      </c>
      <c r="E48" s="253">
        <f>'Ballot Entry'!AB49</f>
        <v>0</v>
      </c>
      <c r="F48" s="253">
        <f>'Ballot Entry'!AC49</f>
        <v>0</v>
      </c>
      <c r="G48" s="261">
        <f>'Ballot Entry'!AD49</f>
        <v>0</v>
      </c>
    </row>
    <row r="49" spans="1:7" ht="13.5" thickBot="1" x14ac:dyDescent="0.25">
      <c r="A49" s="253">
        <f>'Tournament Info'!C62</f>
        <v>0</v>
      </c>
      <c r="B49" s="254">
        <f>'Tournament Info'!B62</f>
        <v>0</v>
      </c>
      <c r="C49" s="253">
        <f>'Ballot Entry'!X50</f>
        <v>0</v>
      </c>
      <c r="D49" s="253">
        <f>'Ballot Entry'!Z50</f>
        <v>0</v>
      </c>
      <c r="E49" s="253">
        <f>'Ballot Entry'!AB50</f>
        <v>0</v>
      </c>
      <c r="F49" s="253">
        <f>'Ballot Entry'!AC50</f>
        <v>0</v>
      </c>
      <c r="G49" s="261">
        <f>'Ballot Entry'!AD50</f>
        <v>0</v>
      </c>
    </row>
    <row r="50" spans="1:7" ht="13.5" thickBot="1" x14ac:dyDescent="0.25">
      <c r="A50" s="253">
        <f>'Tournament Info'!C63</f>
        <v>0</v>
      </c>
      <c r="B50" s="254">
        <f>'Tournament Info'!B63</f>
        <v>0</v>
      </c>
      <c r="C50" s="253">
        <f>'Ballot Entry'!X51</f>
        <v>0</v>
      </c>
      <c r="D50" s="253">
        <f>'Ballot Entry'!Z51</f>
        <v>0</v>
      </c>
      <c r="E50" s="253">
        <f>'Ballot Entry'!AB51</f>
        <v>0</v>
      </c>
      <c r="F50" s="253">
        <f>'Ballot Entry'!AC51</f>
        <v>0</v>
      </c>
      <c r="G50" s="261">
        <f>'Ballot Entry'!AD51</f>
        <v>0</v>
      </c>
    </row>
    <row r="51" spans="1:7" ht="13.5" thickBot="1" x14ac:dyDescent="0.25">
      <c r="A51" s="253">
        <f>'Tournament Info'!C64</f>
        <v>0</v>
      </c>
      <c r="B51" s="254">
        <f>'Tournament Info'!B64</f>
        <v>0</v>
      </c>
      <c r="C51" s="253">
        <f>'Ballot Entry'!X52</f>
        <v>0</v>
      </c>
      <c r="D51" s="253">
        <f>'Ballot Entry'!Z52</f>
        <v>0</v>
      </c>
      <c r="E51" s="253">
        <f>'Ballot Entry'!AB52</f>
        <v>0</v>
      </c>
      <c r="F51" s="253">
        <f>'Ballot Entry'!AC52</f>
        <v>0</v>
      </c>
      <c r="G51" s="261">
        <f>'Ballot Entry'!AD52</f>
        <v>0</v>
      </c>
    </row>
    <row r="52" spans="1:7" ht="13.5" thickBot="1" x14ac:dyDescent="0.25">
      <c r="A52" s="253">
        <f>'Tournament Info'!C65</f>
        <v>0</v>
      </c>
      <c r="B52" s="254">
        <f>'Tournament Info'!B65</f>
        <v>0</v>
      </c>
      <c r="C52" s="253">
        <f>'Ballot Entry'!X53</f>
        <v>0</v>
      </c>
      <c r="D52" s="253">
        <f>'Ballot Entry'!Z53</f>
        <v>0</v>
      </c>
      <c r="E52" s="253">
        <f>'Ballot Entry'!AB53</f>
        <v>0</v>
      </c>
      <c r="F52" s="253">
        <f>'Ballot Entry'!AC53</f>
        <v>0</v>
      </c>
      <c r="G52" s="261">
        <f>'Ballot Entry'!AD53</f>
        <v>0</v>
      </c>
    </row>
    <row r="53" spans="1:7" ht="13.5" thickBot="1" x14ac:dyDescent="0.25">
      <c r="A53" s="253">
        <f>'Tournament Info'!C66</f>
        <v>0</v>
      </c>
      <c r="B53" s="254">
        <f>'Tournament Info'!B66</f>
        <v>0</v>
      </c>
      <c r="C53" s="253">
        <f>'Ballot Entry'!X54</f>
        <v>0</v>
      </c>
      <c r="D53" s="253">
        <f>'Ballot Entry'!Z54</f>
        <v>0</v>
      </c>
      <c r="E53" s="253">
        <f>'Ballot Entry'!AB54</f>
        <v>0</v>
      </c>
      <c r="F53" s="253">
        <f>'Ballot Entry'!AC54</f>
        <v>0</v>
      </c>
      <c r="G53" s="261">
        <f>'Ballot Entry'!AD54</f>
        <v>0</v>
      </c>
    </row>
    <row r="54" spans="1:7" ht="13.5" thickBot="1" x14ac:dyDescent="0.25">
      <c r="A54" s="253">
        <f>'Tournament Info'!C67</f>
        <v>0</v>
      </c>
      <c r="B54" s="254">
        <f>'Tournament Info'!B67</f>
        <v>0</v>
      </c>
      <c r="C54" s="253">
        <f>'Ballot Entry'!X55</f>
        <v>0</v>
      </c>
      <c r="D54" s="253">
        <f>'Ballot Entry'!Z55</f>
        <v>0</v>
      </c>
      <c r="E54" s="253">
        <f>'Ballot Entry'!AB55</f>
        <v>0</v>
      </c>
      <c r="F54" s="253">
        <f>'Ballot Entry'!AC55</f>
        <v>0</v>
      </c>
      <c r="G54" s="261">
        <f>'Ballot Entry'!AD55</f>
        <v>0</v>
      </c>
    </row>
    <row r="55" spans="1:7" ht="13.5" thickBot="1" x14ac:dyDescent="0.25">
      <c r="A55" s="253">
        <f>'Tournament Info'!C68</f>
        <v>0</v>
      </c>
      <c r="B55" s="254">
        <f>'Tournament Info'!B68</f>
        <v>0</v>
      </c>
      <c r="C55" s="253">
        <f>'Ballot Entry'!X56</f>
        <v>0</v>
      </c>
      <c r="D55" s="253">
        <f>'Ballot Entry'!Z56</f>
        <v>0</v>
      </c>
      <c r="E55" s="253">
        <f>'Ballot Entry'!AB56</f>
        <v>0</v>
      </c>
      <c r="F55" s="253">
        <f>'Ballot Entry'!AC56</f>
        <v>0</v>
      </c>
      <c r="G55" s="261">
        <f>'Ballot Entry'!AD56</f>
        <v>0</v>
      </c>
    </row>
    <row r="56" spans="1:7" ht="13.5" thickBot="1" x14ac:dyDescent="0.25">
      <c r="A56" s="253">
        <f>'Tournament Info'!C69</f>
        <v>0</v>
      </c>
      <c r="B56" s="254">
        <f>'Tournament Info'!B69</f>
        <v>0</v>
      </c>
      <c r="C56" s="253">
        <f>'Ballot Entry'!X57</f>
        <v>0</v>
      </c>
      <c r="D56" s="253">
        <f>'Ballot Entry'!Z57</f>
        <v>0</v>
      </c>
      <c r="E56" s="253">
        <f>'Ballot Entry'!AB57</f>
        <v>0</v>
      </c>
      <c r="F56" s="253">
        <f>'Ballot Entry'!AC57</f>
        <v>0</v>
      </c>
      <c r="G56" s="261">
        <f>'Ballot Entry'!AD57</f>
        <v>0</v>
      </c>
    </row>
    <row r="57" spans="1:7" ht="13.5" thickBot="1" x14ac:dyDescent="0.25">
      <c r="A57" s="253">
        <f>'Tournament Info'!C70</f>
        <v>0</v>
      </c>
      <c r="B57" s="254">
        <f>'Tournament Info'!B70</f>
        <v>0</v>
      </c>
      <c r="C57" s="253">
        <f>'Ballot Entry'!X58</f>
        <v>0</v>
      </c>
      <c r="D57" s="253">
        <f>'Ballot Entry'!Z58</f>
        <v>0</v>
      </c>
      <c r="E57" s="253">
        <f>'Ballot Entry'!AB58</f>
        <v>0</v>
      </c>
      <c r="F57" s="253">
        <f>'Ballot Entry'!AC58</f>
        <v>0</v>
      </c>
      <c r="G57" s="261">
        <f>'Ballot Entry'!AD58</f>
        <v>0</v>
      </c>
    </row>
    <row r="58" spans="1:7" ht="13.5" thickBot="1" x14ac:dyDescent="0.25">
      <c r="A58" s="253">
        <f>'Tournament Info'!C71</f>
        <v>0</v>
      </c>
      <c r="B58" s="254">
        <f>'Tournament Info'!B71</f>
        <v>0</v>
      </c>
      <c r="C58" s="253">
        <f>'Ballot Entry'!X59</f>
        <v>0</v>
      </c>
      <c r="D58" s="253">
        <f>'Ballot Entry'!Z59</f>
        <v>0</v>
      </c>
      <c r="E58" s="253">
        <f>'Ballot Entry'!AB59</f>
        <v>0</v>
      </c>
      <c r="F58" s="253">
        <f>'Ballot Entry'!AC59</f>
        <v>0</v>
      </c>
      <c r="G58" s="261">
        <f>'Ballot Entry'!AD59</f>
        <v>0</v>
      </c>
    </row>
    <row r="59" spans="1:7" ht="13.5" thickBot="1" x14ac:dyDescent="0.25">
      <c r="A59" s="253">
        <f>'Tournament Info'!C72</f>
        <v>0</v>
      </c>
      <c r="B59" s="254">
        <f>'Tournament Info'!B72</f>
        <v>0</v>
      </c>
      <c r="C59" s="253">
        <f>'Ballot Entry'!X60</f>
        <v>0</v>
      </c>
      <c r="D59" s="253">
        <f>'Ballot Entry'!Z60</f>
        <v>0</v>
      </c>
      <c r="E59" s="253">
        <f>'Ballot Entry'!AB60</f>
        <v>0</v>
      </c>
      <c r="F59" s="253">
        <f>'Ballot Entry'!AC60</f>
        <v>0</v>
      </c>
      <c r="G59" s="261">
        <f>'Ballot Entry'!AD60</f>
        <v>0</v>
      </c>
    </row>
    <row r="60" spans="1:7" ht="13.5" thickBot="1" x14ac:dyDescent="0.25">
      <c r="A60" s="253">
        <f>'Tournament Info'!C73</f>
        <v>0</v>
      </c>
      <c r="B60" s="254">
        <f>'Tournament Info'!B73</f>
        <v>0</v>
      </c>
      <c r="C60" s="253">
        <f>'Ballot Entry'!X61</f>
        <v>0</v>
      </c>
      <c r="D60" s="253">
        <f>'Ballot Entry'!Z61</f>
        <v>0</v>
      </c>
      <c r="E60" s="253">
        <f>'Ballot Entry'!AB61</f>
        <v>0</v>
      </c>
      <c r="F60" s="253">
        <f>'Ballot Entry'!AC61</f>
        <v>0</v>
      </c>
      <c r="G60" s="261">
        <f>'Ballot Entry'!AD61</f>
        <v>0</v>
      </c>
    </row>
    <row r="61" spans="1:7" ht="13.5" thickBot="1" x14ac:dyDescent="0.25">
      <c r="A61" s="253">
        <f>'Tournament Info'!C74</f>
        <v>0</v>
      </c>
      <c r="B61" s="254">
        <f>'Tournament Info'!B74</f>
        <v>0</v>
      </c>
      <c r="C61" s="253">
        <f>'Ballot Entry'!X62</f>
        <v>0</v>
      </c>
      <c r="D61" s="253">
        <f>'Ballot Entry'!Z62</f>
        <v>0</v>
      </c>
      <c r="E61" s="253">
        <f>'Ballot Entry'!AB62</f>
        <v>0</v>
      </c>
      <c r="F61" s="253">
        <f>'Ballot Entry'!AC62</f>
        <v>0</v>
      </c>
      <c r="G61" s="261">
        <f>'Ballot Entry'!AD62</f>
        <v>0</v>
      </c>
    </row>
    <row r="62" spans="1:7" ht="13.5" thickBot="1" x14ac:dyDescent="0.25">
      <c r="A62" s="253">
        <f>'Tournament Info'!C75</f>
        <v>0</v>
      </c>
      <c r="B62" s="254">
        <f>'Tournament Info'!B75</f>
        <v>0</v>
      </c>
      <c r="C62" s="253">
        <f>'Ballot Entry'!X63</f>
        <v>0</v>
      </c>
      <c r="D62" s="253">
        <f>'Ballot Entry'!Z63</f>
        <v>0</v>
      </c>
      <c r="E62" s="253">
        <f>'Ballot Entry'!AB63</f>
        <v>0</v>
      </c>
      <c r="F62" s="253">
        <f>'Ballot Entry'!AC63</f>
        <v>0</v>
      </c>
      <c r="G62" s="261">
        <f>'Ballot Entry'!AD63</f>
        <v>0</v>
      </c>
    </row>
    <row r="63" spans="1:7" ht="13.5" thickBot="1" x14ac:dyDescent="0.25">
      <c r="A63" s="253">
        <f>'Tournament Info'!C76</f>
        <v>0</v>
      </c>
      <c r="B63" s="254">
        <f>'Tournament Info'!B76</f>
        <v>0</v>
      </c>
      <c r="C63" s="253">
        <f>'Ballot Entry'!X64</f>
        <v>0</v>
      </c>
      <c r="D63" s="253">
        <f>'Ballot Entry'!Z64</f>
        <v>0</v>
      </c>
      <c r="E63" s="253">
        <f>'Ballot Entry'!AB64</f>
        <v>0</v>
      </c>
      <c r="F63" s="253">
        <f>'Ballot Entry'!AC64</f>
        <v>0</v>
      </c>
      <c r="G63" s="261">
        <f>'Ballot Entry'!AD64</f>
        <v>0</v>
      </c>
    </row>
    <row r="64" spans="1:7" ht="13.5" thickBot="1" x14ac:dyDescent="0.25">
      <c r="A64" s="253">
        <f>'Tournament Info'!C77</f>
        <v>0</v>
      </c>
      <c r="B64" s="254">
        <f>'Tournament Info'!B77</f>
        <v>0</v>
      </c>
      <c r="C64" s="253">
        <f>'Ballot Entry'!X65</f>
        <v>0</v>
      </c>
      <c r="D64" s="253">
        <f>'Ballot Entry'!Z65</f>
        <v>0</v>
      </c>
      <c r="E64" s="253">
        <f>'Ballot Entry'!AB65</f>
        <v>0</v>
      </c>
      <c r="F64" s="253">
        <f>'Ballot Entry'!AC65</f>
        <v>0</v>
      </c>
      <c r="G64" s="261">
        <f>'Ballot Entry'!AD65</f>
        <v>0</v>
      </c>
    </row>
    <row r="65" spans="1:7" ht="13.5" thickBot="1" x14ac:dyDescent="0.25">
      <c r="A65" s="253">
        <f>'Tournament Info'!C78</f>
        <v>0</v>
      </c>
      <c r="B65" s="254">
        <f>'Tournament Info'!B78</f>
        <v>0</v>
      </c>
      <c r="C65" s="253">
        <f>'Ballot Entry'!X66</f>
        <v>0</v>
      </c>
      <c r="D65" s="253">
        <f>'Ballot Entry'!Z66</f>
        <v>0</v>
      </c>
      <c r="E65" s="253">
        <f>'Ballot Entry'!AB66</f>
        <v>0</v>
      </c>
      <c r="F65" s="253">
        <f>'Ballot Entry'!AC66</f>
        <v>0</v>
      </c>
      <c r="G65" s="261">
        <f>'Ballot Entry'!AD66</f>
        <v>0</v>
      </c>
    </row>
    <row r="66" spans="1:7" ht="13.5" thickBot="1" x14ac:dyDescent="0.25">
      <c r="A66" s="253">
        <f>'Tournament Info'!C79</f>
        <v>0</v>
      </c>
      <c r="B66" s="254">
        <f>'Tournament Info'!B79</f>
        <v>0</v>
      </c>
      <c r="C66" s="253">
        <f>'Ballot Entry'!X67</f>
        <v>0</v>
      </c>
      <c r="D66" s="253">
        <f>'Ballot Entry'!Z67</f>
        <v>0</v>
      </c>
      <c r="E66" s="253">
        <f>'Ballot Entry'!AB67</f>
        <v>0</v>
      </c>
      <c r="F66" s="253">
        <f>'Ballot Entry'!AC67</f>
        <v>0</v>
      </c>
      <c r="G66" s="261">
        <f>'Ballot Entry'!AD67</f>
        <v>0</v>
      </c>
    </row>
    <row r="67" spans="1:7" ht="13.5" thickBot="1" x14ac:dyDescent="0.25">
      <c r="A67" s="253">
        <f>'Tournament Info'!C80</f>
        <v>0</v>
      </c>
      <c r="B67" s="254">
        <f>'Tournament Info'!B80</f>
        <v>0</v>
      </c>
      <c r="C67" s="253">
        <f>'Ballot Entry'!X68</f>
        <v>0</v>
      </c>
      <c r="D67" s="253">
        <f>'Ballot Entry'!Z68</f>
        <v>0</v>
      </c>
      <c r="E67" s="253">
        <f>'Ballot Entry'!AB68</f>
        <v>0</v>
      </c>
      <c r="F67" s="253">
        <f>'Ballot Entry'!AC68</f>
        <v>0</v>
      </c>
      <c r="G67" s="261">
        <f>'Ballot Entry'!AD68</f>
        <v>0</v>
      </c>
    </row>
    <row r="68" spans="1:7" ht="13.5" thickBot="1" x14ac:dyDescent="0.25">
      <c r="A68" s="253">
        <f>'Tournament Info'!C81</f>
        <v>0</v>
      </c>
      <c r="B68" s="254">
        <f>'Tournament Info'!B81</f>
        <v>0</v>
      </c>
      <c r="C68" s="253">
        <f>'Ballot Entry'!X69</f>
        <v>0</v>
      </c>
      <c r="D68" s="253">
        <f>'Ballot Entry'!Z69</f>
        <v>0</v>
      </c>
      <c r="E68" s="253">
        <f>'Ballot Entry'!AB69</f>
        <v>0</v>
      </c>
      <c r="F68" s="253">
        <f>'Ballot Entry'!AC69</f>
        <v>0</v>
      </c>
      <c r="G68" s="261">
        <f>'Ballot Entry'!AD69</f>
        <v>0</v>
      </c>
    </row>
    <row r="69" spans="1:7" ht="13.5" thickBot="1" x14ac:dyDescent="0.25">
      <c r="A69" s="253">
        <f>'Tournament Info'!C82</f>
        <v>0</v>
      </c>
      <c r="B69" s="254">
        <f>'Tournament Info'!B82</f>
        <v>0</v>
      </c>
      <c r="C69" s="253">
        <f>'Ballot Entry'!X70</f>
        <v>0</v>
      </c>
      <c r="D69" s="253">
        <f>'Ballot Entry'!Z70</f>
        <v>0</v>
      </c>
      <c r="E69" s="253">
        <f>'Ballot Entry'!AB70</f>
        <v>0</v>
      </c>
      <c r="F69" s="253">
        <f>'Ballot Entry'!AC70</f>
        <v>0</v>
      </c>
      <c r="G69" s="261">
        <f>'Ballot Entry'!AD70</f>
        <v>0</v>
      </c>
    </row>
    <row r="70" spans="1:7" ht="13.5" thickBot="1" x14ac:dyDescent="0.25">
      <c r="A70" s="253">
        <f>'Tournament Info'!C83</f>
        <v>0</v>
      </c>
      <c r="B70" s="254">
        <f>'Tournament Info'!B83</f>
        <v>0</v>
      </c>
      <c r="C70" s="253">
        <f>'Ballot Entry'!X71</f>
        <v>0</v>
      </c>
      <c r="D70" s="253">
        <f>'Ballot Entry'!Z71</f>
        <v>0</v>
      </c>
      <c r="E70" s="253">
        <f>'Ballot Entry'!AB71</f>
        <v>0</v>
      </c>
      <c r="F70" s="253">
        <f>'Ballot Entry'!AC71</f>
        <v>0</v>
      </c>
      <c r="G70" s="261">
        <f>'Ballot Entry'!AD71</f>
        <v>0</v>
      </c>
    </row>
    <row r="71" spans="1:7" ht="13.5" thickBot="1" x14ac:dyDescent="0.25">
      <c r="A71" s="253">
        <f>'Tournament Info'!C84</f>
        <v>0</v>
      </c>
      <c r="B71" s="254">
        <f>'Tournament Info'!B84</f>
        <v>0</v>
      </c>
      <c r="C71" s="253">
        <f>'Ballot Entry'!X72</f>
        <v>0</v>
      </c>
      <c r="D71" s="253">
        <f>'Ballot Entry'!Z72</f>
        <v>0</v>
      </c>
      <c r="E71" s="253">
        <f>'Ballot Entry'!AB72</f>
        <v>0</v>
      </c>
      <c r="F71" s="253">
        <f>'Ballot Entry'!AC72</f>
        <v>0</v>
      </c>
      <c r="G71" s="261">
        <f>'Ballot Entry'!AD72</f>
        <v>0</v>
      </c>
    </row>
    <row r="72" spans="1:7" ht="13.5" thickBot="1" x14ac:dyDescent="0.25">
      <c r="A72" s="253"/>
      <c r="B72" s="254"/>
      <c r="C72" s="253"/>
      <c r="D72" s="253"/>
      <c r="E72" s="253"/>
      <c r="F72" s="253"/>
    </row>
    <row r="73" spans="1:7" ht="13.5" thickBot="1" x14ac:dyDescent="0.25">
      <c r="A73" s="253"/>
      <c r="B73" s="254"/>
      <c r="C73" s="253"/>
      <c r="D73" s="253"/>
      <c r="E73" s="253"/>
      <c r="F73" s="253"/>
    </row>
    <row r="74" spans="1:7" ht="13.5" thickBot="1" x14ac:dyDescent="0.25">
      <c r="A74" s="253"/>
      <c r="B74" s="254"/>
      <c r="C74" s="253"/>
      <c r="D74" s="253"/>
      <c r="E74" s="253"/>
      <c r="F74" s="253"/>
    </row>
    <row r="75" spans="1:7" ht="13.5" thickBot="1" x14ac:dyDescent="0.25">
      <c r="A75" s="253"/>
      <c r="B75" s="254"/>
      <c r="C75" s="253"/>
      <c r="D75" s="253"/>
      <c r="E75" s="253"/>
      <c r="F75" s="253"/>
    </row>
    <row r="76" spans="1:7" ht="13.5" thickBot="1" x14ac:dyDescent="0.25">
      <c r="A76" s="253"/>
      <c r="B76" s="254"/>
      <c r="C76" s="253"/>
      <c r="D76" s="253"/>
      <c r="E76" s="253"/>
      <c r="F76" s="253"/>
    </row>
    <row r="77" spans="1:7" ht="13.5" thickBot="1" x14ac:dyDescent="0.25">
      <c r="A77" s="253"/>
      <c r="B77" s="254"/>
      <c r="C77" s="253"/>
      <c r="D77" s="253"/>
      <c r="E77" s="253"/>
      <c r="F77" s="253"/>
    </row>
    <row r="78" spans="1:7" ht="13.5" thickBot="1" x14ac:dyDescent="0.25">
      <c r="A78" s="253"/>
      <c r="B78" s="254"/>
      <c r="C78" s="253"/>
      <c r="D78" s="253"/>
      <c r="E78" s="253"/>
      <c r="F78" s="253"/>
    </row>
    <row r="79" spans="1:7" ht="13.5" thickBot="1" x14ac:dyDescent="0.25">
      <c r="A79" s="253"/>
      <c r="B79" s="254"/>
      <c r="C79" s="253"/>
      <c r="D79" s="253"/>
      <c r="E79" s="253"/>
      <c r="F79" s="253"/>
    </row>
    <row r="80" spans="1:7" ht="13.5" thickBot="1" x14ac:dyDescent="0.25">
      <c r="A80" s="253"/>
      <c r="B80" s="254"/>
      <c r="C80" s="253"/>
      <c r="D80" s="253"/>
      <c r="E80" s="253"/>
      <c r="F80" s="253"/>
    </row>
    <row r="81" spans="1:6" ht="13.5" thickBot="1" x14ac:dyDescent="0.25">
      <c r="A81" s="253"/>
      <c r="B81" s="254"/>
      <c r="C81" s="253"/>
      <c r="D81" s="253"/>
      <c r="E81" s="253"/>
      <c r="F81" s="253"/>
    </row>
    <row r="82" spans="1:6" ht="13.5" thickBot="1" x14ac:dyDescent="0.25">
      <c r="A82" s="253"/>
      <c r="B82" s="254"/>
      <c r="C82" s="253"/>
      <c r="D82" s="253"/>
      <c r="E82" s="253"/>
      <c r="F82" s="253"/>
    </row>
    <row r="83" spans="1:6" ht="13.5" thickBot="1" x14ac:dyDescent="0.25">
      <c r="A83" s="253"/>
      <c r="B83" s="254"/>
      <c r="C83" s="253"/>
      <c r="D83" s="253"/>
      <c r="E83" s="253"/>
      <c r="F83" s="253"/>
    </row>
    <row r="84" spans="1:6" ht="13.5" thickBot="1" x14ac:dyDescent="0.25">
      <c r="A84" s="253"/>
      <c r="B84" s="254"/>
      <c r="C84" s="253"/>
      <c r="D84" s="253"/>
      <c r="E84" s="253"/>
      <c r="F84" s="253"/>
    </row>
    <row r="85" spans="1:6" ht="13.5" thickBot="1" x14ac:dyDescent="0.25">
      <c r="A85" s="253"/>
      <c r="B85" s="254"/>
      <c r="C85" s="253"/>
      <c r="D85" s="253"/>
      <c r="E85" s="253"/>
      <c r="F85" s="253"/>
    </row>
    <row r="86" spans="1:6" ht="13.5" thickBot="1" x14ac:dyDescent="0.25">
      <c r="A86" s="253"/>
      <c r="B86" s="254"/>
      <c r="C86" s="253"/>
      <c r="D86" s="253"/>
      <c r="E86" s="253"/>
      <c r="F86" s="253"/>
    </row>
    <row r="87" spans="1:6" ht="13.5" thickBot="1" x14ac:dyDescent="0.25">
      <c r="A87" s="253"/>
      <c r="B87" s="254"/>
      <c r="C87" s="253"/>
      <c r="D87" s="253"/>
      <c r="E87" s="253"/>
      <c r="F87" s="253"/>
    </row>
    <row r="88" spans="1:6" ht="13.5" thickBot="1" x14ac:dyDescent="0.25">
      <c r="A88" s="253"/>
      <c r="B88" s="254"/>
      <c r="C88" s="253"/>
      <c r="D88" s="253"/>
      <c r="E88" s="253"/>
      <c r="F88" s="253"/>
    </row>
    <row r="89" spans="1:6" ht="13.5" thickBot="1" x14ac:dyDescent="0.25">
      <c r="A89" s="253"/>
      <c r="B89" s="254"/>
      <c r="C89" s="253"/>
      <c r="D89" s="253"/>
      <c r="E89" s="253"/>
      <c r="F89" s="253"/>
    </row>
    <row r="90" spans="1:6" ht="13.5" thickBot="1" x14ac:dyDescent="0.25">
      <c r="A90" s="253"/>
      <c r="B90" s="254"/>
      <c r="C90" s="253"/>
      <c r="D90" s="253"/>
      <c r="E90" s="253"/>
      <c r="F90" s="253"/>
    </row>
    <row r="91" spans="1:6" ht="13.5" thickBot="1" x14ac:dyDescent="0.25">
      <c r="A91" s="253"/>
      <c r="B91" s="254"/>
      <c r="C91" s="253"/>
      <c r="D91" s="253"/>
      <c r="E91" s="253"/>
      <c r="F91" s="253"/>
    </row>
    <row r="92" spans="1:6" ht="13.5" thickBot="1" x14ac:dyDescent="0.25">
      <c r="A92" s="253"/>
      <c r="B92" s="254"/>
      <c r="C92" s="253"/>
      <c r="D92" s="253"/>
      <c r="E92" s="253"/>
      <c r="F92" s="253"/>
    </row>
    <row r="93" spans="1:6" ht="13.5" thickBot="1" x14ac:dyDescent="0.25">
      <c r="A93" s="253"/>
      <c r="B93" s="254"/>
      <c r="C93" s="253"/>
      <c r="D93" s="253"/>
      <c r="E93" s="253"/>
      <c r="F93" s="253"/>
    </row>
  </sheetData>
  <sheetProtection algorithmName="SHA-512" hashValue="c62Wp4dYGo8P7IRueJIXOxIGRxo0llFmwmNKx97yPTr6y4N083SizAkeWUujCmzR/B6SV22Swn0uvVCWV72P/g==" saltValue="5Atc1UnLjfzaMl/m0WCzxQ==" spinCount="100000" sheet="1" objects="1" scenarios="1"/>
  <conditionalFormatting sqref="C2:F93">
    <cfRule type="expression" dxfId="820" priority="5">
      <formula>TRUNC(C2)</formula>
    </cfRule>
  </conditionalFormatting>
  <conditionalFormatting sqref="A1:B39">
    <cfRule type="expression" dxfId="819" priority="4">
      <formula>TRUNC(A1)</formula>
    </cfRule>
  </conditionalFormatting>
  <conditionalFormatting sqref="A40:B40">
    <cfRule type="expression" dxfId="818" priority="3">
      <formula>TRUNC(A40)</formula>
    </cfRule>
  </conditionalFormatting>
  <conditionalFormatting sqref="A41:B93">
    <cfRule type="expression" dxfId="817" priority="2">
      <formula>TRUNC(A41)</formula>
    </cfRule>
  </conditionalFormatting>
  <conditionalFormatting sqref="G2:G71">
    <cfRule type="expression" dxfId="816" priority="1">
      <formula>TRUNC(G2)</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dimension ref="A1:AD435"/>
  <sheetViews>
    <sheetView showGridLines="0" zoomScale="115" workbookViewId="0">
      <pane ySplit="11" topLeftCell="A12" activePane="bottomLeft" state="frozen"/>
      <selection activeCell="I423" sqref="A1:AR425"/>
      <selection pane="bottomLeft" activeCell="F12" sqref="F12"/>
    </sheetView>
  </sheetViews>
  <sheetFormatPr defaultColWidth="8.85546875" defaultRowHeight="12.75" x14ac:dyDescent="0.2"/>
  <cols>
    <col min="1" max="1" width="6.85546875" style="31" customWidth="1"/>
    <col min="2" max="2" width="11.7109375" style="31" customWidth="1"/>
    <col min="3" max="3" width="19.140625" style="31" hidden="1" customWidth="1"/>
    <col min="4" max="4" width="2.7109375" style="31" hidden="1" customWidth="1"/>
    <col min="5" max="5" width="1.140625" style="31" customWidth="1"/>
    <col min="6" max="6" width="19.28515625" style="31" bestFit="1" customWidth="1"/>
    <col min="7" max="7" width="6.85546875" style="31" hidden="1" customWidth="1"/>
    <col min="8" max="8" width="5" style="31" hidden="1" customWidth="1"/>
    <col min="9" max="9" width="4.140625" style="235" customWidth="1"/>
    <col min="10" max="10" width="16" style="31" bestFit="1" customWidth="1"/>
    <col min="11" max="11" width="6.85546875" style="31" hidden="1" customWidth="1"/>
    <col min="12" max="12" width="5" style="31" hidden="1" customWidth="1"/>
    <col min="13" max="13" width="7.140625" style="391" hidden="1" customWidth="1"/>
    <col min="14" max="15" width="7.140625" style="35" hidden="1" customWidth="1"/>
    <col min="16" max="16" width="0.42578125" style="35" hidden="1" customWidth="1"/>
    <col min="17" max="17" width="15.42578125" style="35" hidden="1" customWidth="1"/>
    <col min="18" max="18" width="47.42578125" style="35" hidden="1" customWidth="1"/>
    <col min="19" max="19" width="7.42578125" style="35" hidden="1" customWidth="1"/>
    <col min="20" max="20" width="15.5703125" style="35" hidden="1" customWidth="1"/>
    <col min="21" max="21" width="43.5703125" style="35" hidden="1" customWidth="1"/>
    <col min="22" max="22" width="3.7109375" style="35" hidden="1" customWidth="1"/>
    <col min="23" max="23" width="8.85546875" style="35"/>
    <col min="24" max="16384" width="8.85546875" style="31"/>
  </cols>
  <sheetData>
    <row r="1" spans="1:30" x14ac:dyDescent="0.2">
      <c r="A1" s="38" t="str">
        <f>'Ballot Entry'!A1</f>
        <v>Filter Here</v>
      </c>
      <c r="B1" s="39"/>
    </row>
    <row r="2" spans="1:30" ht="13.5" thickBot="1" x14ac:dyDescent="0.25">
      <c r="A2" s="40" t="str">
        <f>'Ballot Entry'!A2</f>
        <v>Round</v>
      </c>
      <c r="B2" s="40" t="str">
        <f>'Ballot Entry'!B2</f>
        <v>Room</v>
      </c>
      <c r="C2" s="40"/>
      <c r="D2" s="41" t="s">
        <v>288</v>
      </c>
      <c r="E2" s="40"/>
      <c r="F2" s="313" t="s">
        <v>75</v>
      </c>
      <c r="G2" s="313" t="s">
        <v>270</v>
      </c>
      <c r="H2" s="313" t="s">
        <v>271</v>
      </c>
      <c r="I2" s="236"/>
      <c r="J2" s="313" t="s">
        <v>76</v>
      </c>
      <c r="K2" s="313" t="s">
        <v>270</v>
      </c>
      <c r="L2" s="313" t="s">
        <v>271</v>
      </c>
      <c r="M2" s="392"/>
      <c r="Q2" s="35" t="s">
        <v>189</v>
      </c>
      <c r="S2" s="35" t="s">
        <v>190</v>
      </c>
      <c r="T2" s="35" t="s">
        <v>191</v>
      </c>
    </row>
    <row r="3" spans="1:30" s="6" customFormat="1" hidden="1" x14ac:dyDescent="0.2">
      <c r="A3" s="17"/>
      <c r="B3" s="17"/>
      <c r="C3" s="17"/>
      <c r="D3" s="8" t="s">
        <v>284</v>
      </c>
      <c r="E3" s="17"/>
      <c r="F3" s="146" t="s">
        <v>314</v>
      </c>
      <c r="G3" s="146" t="s">
        <v>272</v>
      </c>
      <c r="H3" s="146">
        <v>1</v>
      </c>
      <c r="I3" s="398">
        <v>1</v>
      </c>
      <c r="J3" s="146" t="s">
        <v>314</v>
      </c>
      <c r="K3" s="31"/>
      <c r="L3" s="31"/>
      <c r="M3" s="393">
        <v>1</v>
      </c>
      <c r="N3" s="1"/>
      <c r="O3" s="1"/>
      <c r="P3" s="1"/>
      <c r="Q3" s="1"/>
      <c r="R3" s="1"/>
      <c r="S3" s="1"/>
      <c r="T3" s="1"/>
      <c r="U3" s="1"/>
      <c r="V3" s="1"/>
      <c r="W3" s="1"/>
    </row>
    <row r="4" spans="1:30" s="6" customFormat="1" hidden="1" x14ac:dyDescent="0.2">
      <c r="A4" s="17"/>
      <c r="B4" s="17"/>
      <c r="C4" s="17"/>
      <c r="D4" s="8" t="s">
        <v>282</v>
      </c>
      <c r="E4" s="17"/>
      <c r="F4" s="146" t="s">
        <v>307</v>
      </c>
      <c r="G4" s="146" t="s">
        <v>273</v>
      </c>
      <c r="H4" s="146">
        <v>2</v>
      </c>
      <c r="I4" s="398">
        <v>2</v>
      </c>
      <c r="J4" s="146" t="s">
        <v>310</v>
      </c>
      <c r="K4" s="31"/>
      <c r="L4" s="31"/>
      <c r="M4" s="393">
        <v>2</v>
      </c>
      <c r="N4" s="1"/>
      <c r="O4" s="1"/>
      <c r="P4" s="1"/>
      <c r="Q4" s="1"/>
      <c r="R4" s="1"/>
      <c r="S4" s="1"/>
      <c r="T4" s="1"/>
      <c r="U4" s="1"/>
      <c r="V4" s="1"/>
      <c r="W4" s="1"/>
    </row>
    <row r="5" spans="1:30" s="6" customFormat="1" hidden="1" x14ac:dyDescent="0.2">
      <c r="A5" s="17"/>
      <c r="B5" s="17"/>
      <c r="C5" s="17"/>
      <c r="D5" s="8" t="s">
        <v>78</v>
      </c>
      <c r="E5" s="17"/>
      <c r="F5" s="146" t="s">
        <v>315</v>
      </c>
      <c r="G5" s="314"/>
      <c r="H5" s="314">
        <v>3</v>
      </c>
      <c r="I5" s="398">
        <v>3</v>
      </c>
      <c r="J5" s="146" t="s">
        <v>316</v>
      </c>
      <c r="K5" s="315"/>
      <c r="L5" s="315"/>
      <c r="M5" s="393">
        <v>3</v>
      </c>
      <c r="N5" s="1"/>
      <c r="O5" s="1"/>
      <c r="P5" s="1"/>
      <c r="Q5" s="1"/>
      <c r="R5" s="1"/>
      <c r="S5" s="1"/>
      <c r="T5" s="1"/>
      <c r="U5" s="1"/>
      <c r="V5" s="1"/>
      <c r="W5" s="1"/>
    </row>
    <row r="6" spans="1:30" s="6" customFormat="1" hidden="1" x14ac:dyDescent="0.2">
      <c r="A6" s="17"/>
      <c r="B6" s="17"/>
      <c r="C6" s="17"/>
      <c r="D6" s="8" t="s">
        <v>78</v>
      </c>
      <c r="E6" s="17"/>
      <c r="F6" s="146" t="s">
        <v>312</v>
      </c>
      <c r="G6" s="146"/>
      <c r="H6" s="146"/>
      <c r="I6" s="398">
        <v>4</v>
      </c>
      <c r="J6" s="146" t="s">
        <v>315</v>
      </c>
      <c r="K6" s="31"/>
      <c r="L6" s="31"/>
      <c r="M6" s="393">
        <v>4</v>
      </c>
      <c r="N6" s="1"/>
      <c r="O6" s="1"/>
      <c r="P6" s="1"/>
      <c r="Q6" s="1"/>
      <c r="R6" s="1"/>
      <c r="S6" s="1"/>
      <c r="T6" s="1"/>
      <c r="U6" s="1"/>
      <c r="V6" s="1"/>
      <c r="W6" s="1"/>
    </row>
    <row r="7" spans="1:30" s="6" customFormat="1" hidden="1" x14ac:dyDescent="0.2">
      <c r="A7" s="17"/>
      <c r="B7" s="17"/>
      <c r="C7" s="17"/>
      <c r="D7" s="8" t="s">
        <v>78</v>
      </c>
      <c r="E7" s="17"/>
      <c r="F7" s="146" t="s">
        <v>308</v>
      </c>
      <c r="G7" s="314"/>
      <c r="H7" s="314"/>
      <c r="I7" s="398">
        <v>5</v>
      </c>
      <c r="J7" s="146" t="s">
        <v>312</v>
      </c>
      <c r="K7" s="315"/>
      <c r="L7" s="315"/>
      <c r="M7" s="393">
        <v>5</v>
      </c>
      <c r="N7" s="1"/>
      <c r="O7" s="1"/>
      <c r="P7" s="1"/>
      <c r="Q7" s="1"/>
      <c r="R7" s="1"/>
      <c r="S7" s="1"/>
      <c r="T7" s="1"/>
      <c r="U7" s="1"/>
      <c r="V7" s="1"/>
      <c r="W7" s="1"/>
    </row>
    <row r="8" spans="1:30" s="6" customFormat="1" hidden="1" x14ac:dyDescent="0.2">
      <c r="A8" s="17"/>
      <c r="B8" s="17"/>
      <c r="C8" s="17"/>
      <c r="D8" s="8" t="s">
        <v>78</v>
      </c>
      <c r="E8" s="17"/>
      <c r="F8" s="314" t="s">
        <v>313</v>
      </c>
      <c r="G8" s="146"/>
      <c r="H8" s="146"/>
      <c r="I8" s="398">
        <v>6</v>
      </c>
      <c r="J8" s="314" t="s">
        <v>311</v>
      </c>
      <c r="K8" s="31"/>
      <c r="L8" s="31"/>
      <c r="M8" s="393">
        <v>6</v>
      </c>
      <c r="N8" s="1"/>
      <c r="O8" s="1"/>
      <c r="P8" s="1"/>
      <c r="Q8" s="1"/>
      <c r="R8" s="1"/>
      <c r="S8" s="1"/>
      <c r="T8" s="1"/>
      <c r="U8" s="1"/>
      <c r="V8" s="1"/>
      <c r="W8" s="1"/>
    </row>
    <row r="9" spans="1:30" s="6" customFormat="1" hidden="1" x14ac:dyDescent="0.2">
      <c r="A9" s="17"/>
      <c r="B9" s="17"/>
      <c r="C9" s="17"/>
      <c r="D9" s="8" t="s">
        <v>78</v>
      </c>
      <c r="E9" s="17"/>
      <c r="F9" s="314" t="s">
        <v>309</v>
      </c>
      <c r="G9" s="146"/>
      <c r="H9" s="146"/>
      <c r="I9" s="398">
        <v>7</v>
      </c>
      <c r="J9" s="314" t="s">
        <v>313</v>
      </c>
      <c r="K9" s="31"/>
      <c r="L9" s="31"/>
      <c r="M9" s="393">
        <v>7</v>
      </c>
      <c r="N9" s="1"/>
      <c r="O9" s="1"/>
      <c r="P9" s="1"/>
      <c r="Q9" s="1"/>
      <c r="R9" s="1"/>
      <c r="S9" s="1"/>
      <c r="T9" s="1"/>
      <c r="U9" s="1"/>
      <c r="V9" s="1"/>
      <c r="W9" s="1"/>
    </row>
    <row r="10" spans="1:30" s="6" customFormat="1" hidden="1" x14ac:dyDescent="0.2">
      <c r="A10" s="145"/>
      <c r="B10" s="145"/>
      <c r="C10" s="145"/>
      <c r="D10" s="8" t="s">
        <v>78</v>
      </c>
      <c r="E10" s="145"/>
      <c r="F10" s="8" t="s">
        <v>78</v>
      </c>
      <c r="G10" s="146"/>
      <c r="H10" s="146"/>
      <c r="I10" s="398">
        <v>8</v>
      </c>
      <c r="J10" s="8" t="s">
        <v>78</v>
      </c>
      <c r="K10" s="31"/>
      <c r="L10" s="31"/>
      <c r="M10" s="393">
        <v>8</v>
      </c>
      <c r="N10" s="1"/>
      <c r="O10" s="1"/>
      <c r="P10" s="1"/>
      <c r="Q10" s="1"/>
      <c r="R10" s="1"/>
      <c r="S10" s="1"/>
      <c r="T10" s="1"/>
      <c r="U10" s="1"/>
      <c r="V10" s="1"/>
      <c r="W10" s="1"/>
    </row>
    <row r="11" spans="1:30" s="6" customFormat="1" ht="13.5" hidden="1" thickBot="1" x14ac:dyDescent="0.25">
      <c r="A11" s="17"/>
      <c r="B11" s="17"/>
      <c r="C11" s="17"/>
      <c r="D11" s="6" t="s">
        <v>78</v>
      </c>
      <c r="E11" s="17"/>
      <c r="F11" s="6" t="s">
        <v>78</v>
      </c>
      <c r="I11" s="399">
        <v>9</v>
      </c>
      <c r="J11" s="6" t="s">
        <v>78</v>
      </c>
      <c r="K11" s="31"/>
      <c r="L11" s="31"/>
      <c r="M11" s="390">
        <v>9</v>
      </c>
      <c r="N11" s="1"/>
      <c r="O11" s="1"/>
      <c r="P11" s="1"/>
      <c r="Q11" s="1"/>
      <c r="R11" s="1"/>
      <c r="S11" s="1"/>
      <c r="T11" s="1"/>
      <c r="U11" s="1"/>
      <c r="V11" s="1"/>
      <c r="W11" s="1"/>
    </row>
    <row r="12" spans="1:30" ht="13.5" thickTop="1" x14ac:dyDescent="0.2">
      <c r="A12" s="42" t="str">
        <f>'Ballot Entry'!A3</f>
        <v>1</v>
      </c>
      <c r="B12" s="43">
        <f>'Ballot Entry'!B3</f>
        <v>501</v>
      </c>
      <c r="C12" s="43" t="s">
        <v>285</v>
      </c>
      <c r="D12" s="44"/>
      <c r="E12" s="45"/>
      <c r="F12" s="44"/>
      <c r="G12" s="44"/>
      <c r="H12" s="44"/>
      <c r="I12" s="237" t="e">
        <f t="shared" ref="I12:I120" si="0">VLOOKUP(F12,Plookup,4,)</f>
        <v>#N/A</v>
      </c>
      <c r="J12" s="44"/>
      <c r="K12" s="44"/>
      <c r="L12" s="44"/>
      <c r="M12" s="394" t="e">
        <f t="shared" ref="M12:M120" si="1">VLOOKUP(J12,DLookup,4,)</f>
        <v>#N/A</v>
      </c>
      <c r="N12" s="35" t="e">
        <f>LARGE(I12:I14,3)&amp;","&amp;LARGE(I12:I14,2)&amp;","&amp;LARGE(I12:I14,1)</f>
        <v>#N/A</v>
      </c>
      <c r="O12" s="35" t="e">
        <f>LARGE(M12:M14,3)&amp;","&amp;LARGE(M12:M14,2)&amp;","&amp;LARGE(M12:M14,1)</f>
        <v>#N/A</v>
      </c>
      <c r="Q12" s="35" t="s">
        <v>175</v>
      </c>
      <c r="R12" s="35" t="str">
        <f>F3&amp;", "&amp;F4&amp;", "&amp;F5</f>
        <v>A.J. McClellan, Alex Grace, Harper Villafana</v>
      </c>
      <c r="S12" s="35">
        <f t="shared" ref="S12:S22" si="2">COUNTIF($N$12:$N$388,Q12)</f>
        <v>0</v>
      </c>
      <c r="T12" s="35" t="s">
        <v>175</v>
      </c>
      <c r="U12" s="35" t="str">
        <f>J3&amp;", "&amp;J4&amp;", "&amp;J5</f>
        <v>A.J. McClellan, Ashley Thornhill, Danny Kosack</v>
      </c>
      <c r="V12" s="35">
        <f t="shared" ref="V12:V22" si="3">COUNTIF($N$12:$N$388,T12)</f>
        <v>0</v>
      </c>
      <c r="X12" s="35"/>
      <c r="Y12" s="35"/>
      <c r="Z12" s="35"/>
      <c r="AA12" s="35"/>
      <c r="AB12" s="35"/>
      <c r="AC12" s="35"/>
      <c r="AD12" s="35"/>
    </row>
    <row r="13" spans="1:30" x14ac:dyDescent="0.2">
      <c r="A13" s="18" t="str">
        <f>A12</f>
        <v>1</v>
      </c>
      <c r="B13" s="45"/>
      <c r="C13" s="45"/>
      <c r="D13" s="45"/>
      <c r="E13" s="45"/>
      <c r="F13" s="46"/>
      <c r="G13" s="46"/>
      <c r="H13" s="46"/>
      <c r="I13" s="237" t="e">
        <f t="shared" si="0"/>
        <v>#N/A</v>
      </c>
      <c r="J13" s="46"/>
      <c r="K13" s="46"/>
      <c r="L13" s="46"/>
      <c r="M13" s="394" t="e">
        <f t="shared" si="1"/>
        <v>#N/A</v>
      </c>
      <c r="Q13" s="35" t="s">
        <v>187</v>
      </c>
      <c r="R13" s="35" t="str">
        <f>F3&amp;", "&amp;F4&amp;", "&amp;F6</f>
        <v>A.J. McClellan, Alex Grace, Hunter Cooper</v>
      </c>
      <c r="S13" s="35">
        <f t="shared" si="2"/>
        <v>0</v>
      </c>
      <c r="T13" s="35" t="s">
        <v>187</v>
      </c>
      <c r="U13" s="35" t="str">
        <f>J3&amp;", "&amp;J4&amp;", "&amp;J6</f>
        <v>A.J. McClellan, Ashley Thornhill, Harper Villafana</v>
      </c>
      <c r="V13" s="35">
        <f t="shared" si="3"/>
        <v>0</v>
      </c>
      <c r="X13" s="35"/>
      <c r="Y13" s="35"/>
      <c r="Z13" s="35"/>
      <c r="AA13" s="35"/>
      <c r="AB13" s="35"/>
      <c r="AC13" s="35"/>
      <c r="AD13" s="35"/>
    </row>
    <row r="14" spans="1:30" ht="13.5" thickBot="1" x14ac:dyDescent="0.25">
      <c r="A14" s="18" t="str">
        <f>A13</f>
        <v>1</v>
      </c>
      <c r="B14" s="45"/>
      <c r="E14" s="45"/>
      <c r="F14" s="47"/>
      <c r="G14" s="47"/>
      <c r="H14" s="47"/>
      <c r="I14" s="237" t="e">
        <f t="shared" si="0"/>
        <v>#N/A</v>
      </c>
      <c r="J14" s="47"/>
      <c r="K14" s="47"/>
      <c r="L14" s="47"/>
      <c r="M14" s="394" t="e">
        <f t="shared" si="1"/>
        <v>#N/A</v>
      </c>
      <c r="Q14" s="35" t="s">
        <v>178</v>
      </c>
      <c r="R14" s="35" t="str">
        <f>F3&amp;", "&amp;F4&amp;", "&amp;F7</f>
        <v>A.J. McClellan, Alex Grace, Jameson Clark</v>
      </c>
      <c r="S14" s="35">
        <f t="shared" si="2"/>
        <v>0</v>
      </c>
      <c r="T14" s="35" t="s">
        <v>178</v>
      </c>
      <c r="U14" s="35" t="str">
        <f>J3&amp;", "&amp;J4&amp;", "&amp;J7</f>
        <v>A.J. McClellan, Ashley Thornhill, Hunter Cooper</v>
      </c>
      <c r="V14" s="35">
        <f t="shared" si="3"/>
        <v>0</v>
      </c>
      <c r="X14" s="35"/>
      <c r="Y14" s="35"/>
      <c r="Z14" s="35"/>
      <c r="AA14" s="35"/>
      <c r="AB14" s="35"/>
      <c r="AC14" s="35"/>
      <c r="AD14" s="35"/>
    </row>
    <row r="15" spans="1:30" ht="13.5" thickTop="1" x14ac:dyDescent="0.2">
      <c r="A15" s="42" t="str">
        <f>'Ballot Entry'!A6</f>
        <v>1</v>
      </c>
      <c r="B15" s="43">
        <f>'Ballot Entry'!B6</f>
        <v>502</v>
      </c>
      <c r="C15" s="43" t="s">
        <v>285</v>
      </c>
      <c r="D15" s="48"/>
      <c r="E15" s="45"/>
      <c r="F15" s="48"/>
      <c r="G15" s="48"/>
      <c r="H15" s="48"/>
      <c r="I15" s="237" t="e">
        <f t="shared" si="0"/>
        <v>#N/A</v>
      </c>
      <c r="J15" s="48"/>
      <c r="K15" s="48"/>
      <c r="L15" s="48"/>
      <c r="M15" s="394" t="e">
        <f t="shared" si="1"/>
        <v>#N/A</v>
      </c>
      <c r="N15" s="35" t="e">
        <f>LARGE(I15:I17,3)&amp;","&amp;LARGE(I15:I17,2)&amp;","&amp;LARGE(I15:I17,1)</f>
        <v>#N/A</v>
      </c>
      <c r="O15" s="35" t="e">
        <f>LARGE(M15:M17,3)&amp;","&amp;LARGE(M15:M17,2)&amp;","&amp;LARGE(M15:M17,1)</f>
        <v>#N/A</v>
      </c>
      <c r="Q15" s="35" t="s">
        <v>188</v>
      </c>
      <c r="R15" s="35" t="str">
        <f>F3&amp;", "&amp;F4&amp;", "&amp;F8</f>
        <v>A.J. McClellan, Alex Grace, Remy Hollis</v>
      </c>
      <c r="S15" s="35">
        <f t="shared" si="2"/>
        <v>0</v>
      </c>
      <c r="T15" s="35" t="s">
        <v>188</v>
      </c>
      <c r="U15" s="35" t="str">
        <f>J3&amp;", "&amp;J4&amp;", "&amp;J8</f>
        <v>A.J. McClellan, Ashley Thornhill, Miller McCoy</v>
      </c>
      <c r="V15" s="35">
        <f t="shared" si="3"/>
        <v>0</v>
      </c>
      <c r="X15" s="35"/>
      <c r="Y15" s="35"/>
      <c r="Z15" s="35"/>
      <c r="AA15" s="35"/>
      <c r="AB15" s="35"/>
      <c r="AC15" s="35"/>
      <c r="AD15" s="35"/>
    </row>
    <row r="16" spans="1:30" x14ac:dyDescent="0.2">
      <c r="A16" s="18" t="str">
        <f>A15</f>
        <v>1</v>
      </c>
      <c r="B16" s="45"/>
      <c r="C16" s="45"/>
      <c r="D16" s="45"/>
      <c r="E16" s="45"/>
      <c r="F16" s="49"/>
      <c r="G16" s="49"/>
      <c r="H16" s="49"/>
      <c r="I16" s="237" t="e">
        <f t="shared" si="0"/>
        <v>#N/A</v>
      </c>
      <c r="J16" s="49"/>
      <c r="K16" s="49"/>
      <c r="L16" s="49"/>
      <c r="M16" s="394" t="e">
        <f t="shared" si="1"/>
        <v>#N/A</v>
      </c>
      <c r="Q16" s="35" t="s">
        <v>184</v>
      </c>
      <c r="R16" s="35" t="str">
        <f>F3&amp;", "&amp;F4&amp;", "&amp;F9</f>
        <v>A.J. McClellan, Alex Grace, Willoughby Hawkins</v>
      </c>
      <c r="S16" s="35">
        <f t="shared" si="2"/>
        <v>0</v>
      </c>
      <c r="T16" s="35" t="s">
        <v>184</v>
      </c>
      <c r="U16" s="35" t="str">
        <f>J3&amp;", "&amp;J4&amp;", "&amp;J9</f>
        <v>A.J. McClellan, Ashley Thornhill, Remy Hollis</v>
      </c>
      <c r="V16" s="35">
        <f t="shared" si="3"/>
        <v>0</v>
      </c>
      <c r="X16" s="35"/>
      <c r="Y16" s="35"/>
      <c r="Z16" s="35"/>
      <c r="AA16" s="35"/>
      <c r="AB16" s="35"/>
      <c r="AC16" s="35"/>
      <c r="AD16" s="35"/>
    </row>
    <row r="17" spans="1:30" ht="13.5" thickBot="1" x14ac:dyDescent="0.25">
      <c r="A17" s="18" t="str">
        <f>A16</f>
        <v>1</v>
      </c>
      <c r="B17" s="45"/>
      <c r="E17" s="51"/>
      <c r="F17" s="50"/>
      <c r="G17" s="50"/>
      <c r="H17" s="50"/>
      <c r="I17" s="237" t="e">
        <f t="shared" si="0"/>
        <v>#N/A</v>
      </c>
      <c r="J17" s="50"/>
      <c r="K17" s="50"/>
      <c r="L17" s="50"/>
      <c r="M17" s="394" t="e">
        <f t="shared" si="1"/>
        <v>#N/A</v>
      </c>
      <c r="Q17" s="35" t="s">
        <v>192</v>
      </c>
      <c r="R17" s="35" t="str">
        <f>F3&amp;", "&amp;F4&amp;", "&amp;F10</f>
        <v>A.J. McClellan, Alex Grace, .</v>
      </c>
      <c r="S17" s="35">
        <f t="shared" si="2"/>
        <v>0</v>
      </c>
      <c r="T17" s="35" t="s">
        <v>192</v>
      </c>
      <c r="U17" s="35" t="str">
        <f>J3&amp;", "&amp;J4&amp;", "&amp;J10</f>
        <v>A.J. McClellan, Ashley Thornhill, .</v>
      </c>
      <c r="V17" s="35">
        <f t="shared" si="3"/>
        <v>0</v>
      </c>
      <c r="X17" s="35"/>
      <c r="Y17" s="35"/>
      <c r="Z17" s="35"/>
      <c r="AA17" s="35"/>
      <c r="AB17" s="35"/>
      <c r="AC17" s="35"/>
      <c r="AD17" s="35"/>
    </row>
    <row r="18" spans="1:30" ht="13.5" thickTop="1" x14ac:dyDescent="0.2">
      <c r="A18" s="42" t="str">
        <f>'Ballot Entry'!A9</f>
        <v>1</v>
      </c>
      <c r="B18" s="43">
        <f>'Ballot Entry'!B9</f>
        <v>503</v>
      </c>
      <c r="C18" s="43" t="s">
        <v>285</v>
      </c>
      <c r="D18" s="44"/>
      <c r="E18" s="45"/>
      <c r="F18" s="44"/>
      <c r="G18" s="44"/>
      <c r="H18" s="44"/>
      <c r="I18" s="237" t="e">
        <f t="shared" si="0"/>
        <v>#N/A</v>
      </c>
      <c r="J18" s="44"/>
      <c r="K18" s="44"/>
      <c r="L18" s="44"/>
      <c r="M18" s="394" t="e">
        <f t="shared" si="1"/>
        <v>#N/A</v>
      </c>
      <c r="N18" s="35" t="e">
        <f>LARGE(I18:I20,3)&amp;","&amp;LARGE(I18:I20,2)&amp;","&amp;LARGE(I18:I20,1)</f>
        <v>#N/A</v>
      </c>
      <c r="O18" s="35" t="e">
        <f>LARGE(M18:M20,3)&amp;","&amp;LARGE(M18:M20,2)&amp;","&amp;LARGE(M18:M20,1)</f>
        <v>#N/A</v>
      </c>
      <c r="Q18" s="35" t="s">
        <v>194</v>
      </c>
      <c r="R18" s="35" t="str">
        <f>F3&amp;", "&amp;F4&amp;", "&amp;F11</f>
        <v>A.J. McClellan, Alex Grace, .</v>
      </c>
      <c r="S18" s="35">
        <f t="shared" si="2"/>
        <v>0</v>
      </c>
      <c r="T18" s="35" t="s">
        <v>194</v>
      </c>
      <c r="U18" s="35" t="str">
        <f>J3&amp;", "&amp;J4&amp;", "&amp;J11</f>
        <v>A.J. McClellan, Ashley Thornhill, .</v>
      </c>
      <c r="V18" s="35">
        <f t="shared" si="3"/>
        <v>0</v>
      </c>
      <c r="X18" s="35"/>
      <c r="Y18" s="35"/>
      <c r="Z18" s="35"/>
      <c r="AA18" s="35"/>
      <c r="AB18" s="35"/>
      <c r="AC18" s="35"/>
      <c r="AD18" s="35"/>
    </row>
    <row r="19" spans="1:30" x14ac:dyDescent="0.2">
      <c r="A19" s="18" t="str">
        <f>A18</f>
        <v>1</v>
      </c>
      <c r="B19" s="45"/>
      <c r="C19" s="45"/>
      <c r="D19" s="45"/>
      <c r="E19" s="45"/>
      <c r="F19" s="46"/>
      <c r="G19" s="46"/>
      <c r="H19" s="46"/>
      <c r="I19" s="237" t="e">
        <f t="shared" si="0"/>
        <v>#N/A</v>
      </c>
      <c r="J19" s="46"/>
      <c r="K19" s="46"/>
      <c r="L19" s="46"/>
      <c r="M19" s="394" t="e">
        <f t="shared" si="1"/>
        <v>#N/A</v>
      </c>
      <c r="Q19" s="35" t="s">
        <v>376</v>
      </c>
      <c r="R19" s="35" t="str">
        <f>F3&amp;", "&amp;F5&amp;", "&amp;F6</f>
        <v>A.J. McClellan, Harper Villafana, Hunter Cooper</v>
      </c>
      <c r="S19" s="35">
        <f t="shared" si="2"/>
        <v>0</v>
      </c>
      <c r="T19" s="35" t="s">
        <v>376</v>
      </c>
      <c r="U19" s="35" t="str">
        <f>J3&amp;", "&amp;J5&amp;", "&amp;J6</f>
        <v>A.J. McClellan, Danny Kosack, Harper Villafana</v>
      </c>
      <c r="V19" s="35">
        <f t="shared" si="3"/>
        <v>0</v>
      </c>
      <c r="X19" s="35"/>
      <c r="Y19" s="35"/>
      <c r="Z19" s="35"/>
      <c r="AA19" s="35"/>
      <c r="AB19" s="35"/>
      <c r="AC19" s="35"/>
      <c r="AD19" s="35"/>
    </row>
    <row r="20" spans="1:30" ht="13.5" thickBot="1" x14ac:dyDescent="0.25">
      <c r="A20" s="18" t="str">
        <f>A19</f>
        <v>1</v>
      </c>
      <c r="B20" s="45"/>
      <c r="E20" s="45"/>
      <c r="F20" s="47"/>
      <c r="G20" s="47"/>
      <c r="H20" s="47"/>
      <c r="I20" s="237" t="e">
        <f t="shared" si="0"/>
        <v>#N/A</v>
      </c>
      <c r="J20" s="47"/>
      <c r="K20" s="47"/>
      <c r="L20" s="47"/>
      <c r="M20" s="394" t="e">
        <f t="shared" si="1"/>
        <v>#N/A</v>
      </c>
      <c r="Q20" s="35" t="s">
        <v>377</v>
      </c>
      <c r="R20" s="35" t="str">
        <f>F3&amp;", "&amp;F5&amp;", "&amp;F7</f>
        <v>A.J. McClellan, Harper Villafana, Jameson Clark</v>
      </c>
      <c r="S20" s="35">
        <f t="shared" si="2"/>
        <v>0</v>
      </c>
      <c r="T20" s="35" t="s">
        <v>377</v>
      </c>
      <c r="U20" s="35" t="str">
        <f>J3&amp;", "&amp;J5&amp;", "&amp;J7</f>
        <v>A.J. McClellan, Danny Kosack, Hunter Cooper</v>
      </c>
      <c r="V20" s="35">
        <f t="shared" si="3"/>
        <v>0</v>
      </c>
      <c r="X20" s="35"/>
      <c r="Y20" s="35"/>
      <c r="Z20" s="35"/>
      <c r="AA20" s="35"/>
      <c r="AB20" s="35"/>
      <c r="AC20" s="35"/>
      <c r="AD20" s="35"/>
    </row>
    <row r="21" spans="1:30" ht="13.5" thickTop="1" x14ac:dyDescent="0.2">
      <c r="A21" s="42" t="str">
        <f>'Ballot Entry'!A12</f>
        <v>1</v>
      </c>
      <c r="B21" s="43">
        <f>'Ballot Entry'!B12</f>
        <v>504</v>
      </c>
      <c r="C21" s="43" t="s">
        <v>285</v>
      </c>
      <c r="D21" s="48"/>
      <c r="E21" s="45"/>
      <c r="F21" s="48"/>
      <c r="G21" s="48"/>
      <c r="H21" s="48"/>
      <c r="I21" s="237" t="e">
        <f t="shared" si="0"/>
        <v>#N/A</v>
      </c>
      <c r="J21" s="48"/>
      <c r="K21" s="48"/>
      <c r="L21" s="48"/>
      <c r="M21" s="394" t="e">
        <f t="shared" si="1"/>
        <v>#N/A</v>
      </c>
      <c r="N21" s="35" t="e">
        <f>LARGE(I21:I23,3)&amp;","&amp;LARGE(I21:I23,2)&amp;","&amp;LARGE(I21:I23,1)</f>
        <v>#N/A</v>
      </c>
      <c r="O21" s="35" t="e">
        <f>LARGE(M21:M23,3)&amp;","&amp;LARGE(M21:M23,2)&amp;","&amp;LARGE(M21:M23,1)</f>
        <v>#N/A</v>
      </c>
      <c r="Q21" s="35" t="s">
        <v>378</v>
      </c>
      <c r="R21" s="35" t="str">
        <f>F3&amp;", "&amp;F5&amp;", "&amp;F8</f>
        <v>A.J. McClellan, Harper Villafana, Remy Hollis</v>
      </c>
      <c r="S21" s="35">
        <f t="shared" si="2"/>
        <v>0</v>
      </c>
      <c r="T21" s="35" t="s">
        <v>378</v>
      </c>
      <c r="U21" s="35" t="str">
        <f>J3&amp;", "&amp;J5&amp;", "&amp;J8</f>
        <v>A.J. McClellan, Danny Kosack, Miller McCoy</v>
      </c>
      <c r="V21" s="35">
        <f t="shared" si="3"/>
        <v>0</v>
      </c>
      <c r="X21" s="35"/>
      <c r="Y21" s="35"/>
      <c r="Z21" s="35"/>
      <c r="AA21" s="35"/>
      <c r="AB21" s="35"/>
      <c r="AC21" s="35"/>
      <c r="AD21" s="35"/>
    </row>
    <row r="22" spans="1:30" x14ac:dyDescent="0.2">
      <c r="A22" s="18" t="str">
        <f>A21</f>
        <v>1</v>
      </c>
      <c r="B22" s="45"/>
      <c r="C22" s="45"/>
      <c r="D22" s="45"/>
      <c r="E22" s="45"/>
      <c r="F22" s="49"/>
      <c r="G22" s="49"/>
      <c r="H22" s="49"/>
      <c r="I22" s="237" t="e">
        <f t="shared" si="0"/>
        <v>#N/A</v>
      </c>
      <c r="J22" s="49"/>
      <c r="K22" s="49"/>
      <c r="L22" s="49"/>
      <c r="M22" s="394" t="e">
        <f t="shared" si="1"/>
        <v>#N/A</v>
      </c>
      <c r="Q22" s="35" t="s">
        <v>379</v>
      </c>
      <c r="R22" s="35" t="str">
        <f>F3&amp;", "&amp;F5&amp;", "&amp;F9</f>
        <v>A.J. McClellan, Harper Villafana, Willoughby Hawkins</v>
      </c>
      <c r="S22" s="35">
        <f t="shared" si="2"/>
        <v>0</v>
      </c>
      <c r="T22" s="35" t="s">
        <v>379</v>
      </c>
      <c r="U22" s="35" t="str">
        <f>J3&amp;", "&amp;J5&amp;", "&amp;J9</f>
        <v>A.J. McClellan, Danny Kosack, Remy Hollis</v>
      </c>
      <c r="V22" s="35">
        <f t="shared" si="3"/>
        <v>0</v>
      </c>
      <c r="X22" s="35"/>
      <c r="Y22" s="35"/>
      <c r="Z22" s="35"/>
      <c r="AA22" s="35"/>
      <c r="AB22" s="35"/>
      <c r="AC22" s="35"/>
      <c r="AD22" s="35"/>
    </row>
    <row r="23" spans="1:30" ht="13.5" thickBot="1" x14ac:dyDescent="0.25">
      <c r="A23" s="18" t="str">
        <f>A22</f>
        <v>1</v>
      </c>
      <c r="B23" s="45"/>
      <c r="E23" s="51"/>
      <c r="F23" s="50"/>
      <c r="G23" s="50"/>
      <c r="H23" s="50"/>
      <c r="I23" s="237" t="e">
        <f t="shared" si="0"/>
        <v>#N/A</v>
      </c>
      <c r="J23" s="50"/>
      <c r="K23" s="50"/>
      <c r="L23" s="50"/>
      <c r="M23" s="394" t="e">
        <f t="shared" si="1"/>
        <v>#N/A</v>
      </c>
      <c r="Q23" s="35" t="s">
        <v>380</v>
      </c>
      <c r="R23" s="35" t="str">
        <f>F3&amp;", "&amp;F5&amp;", "&amp;F10</f>
        <v>A.J. McClellan, Harper Villafana, .</v>
      </c>
      <c r="S23" s="35">
        <f t="shared" ref="S23:S28" si="4">COUNTIF($N$12:$N$388,Q30)</f>
        <v>0</v>
      </c>
      <c r="T23" s="35" t="s">
        <v>380</v>
      </c>
      <c r="U23" s="35" t="str">
        <f>J3&amp;", "&amp;J5&amp;", "&amp;J10</f>
        <v>A.J. McClellan, Danny Kosack, .</v>
      </c>
      <c r="V23" s="35">
        <f t="shared" ref="V23:V28" si="5">COUNTIF($N$12:$N$388,T30)</f>
        <v>0</v>
      </c>
      <c r="X23" s="35"/>
      <c r="Y23" s="35"/>
      <c r="Z23" s="35"/>
      <c r="AA23" s="35"/>
      <c r="AB23" s="35"/>
      <c r="AC23" s="35"/>
      <c r="AD23" s="35"/>
    </row>
    <row r="24" spans="1:30" ht="13.5" thickTop="1" x14ac:dyDescent="0.2">
      <c r="A24" s="42" t="str">
        <f>'Ballot Entry'!A15</f>
        <v>1</v>
      </c>
      <c r="B24" s="43">
        <f>'Ballot Entry'!B15</f>
        <v>601</v>
      </c>
      <c r="C24" s="43" t="s">
        <v>285</v>
      </c>
      <c r="D24" s="44"/>
      <c r="E24" s="45"/>
      <c r="F24" s="44"/>
      <c r="G24" s="44"/>
      <c r="H24" s="44"/>
      <c r="I24" s="237" t="e">
        <f t="shared" si="0"/>
        <v>#N/A</v>
      </c>
      <c r="J24" s="44"/>
      <c r="K24" s="44"/>
      <c r="L24" s="44"/>
      <c r="M24" s="394" t="e">
        <f t="shared" si="1"/>
        <v>#N/A</v>
      </c>
      <c r="N24" s="35" t="e">
        <f>LARGE(I24:I26,3)&amp;","&amp;LARGE(I24:I26,2)&amp;","&amp;LARGE(I24:I26,1)</f>
        <v>#N/A</v>
      </c>
      <c r="O24" s="35" t="e">
        <f>LARGE(M24:M26,3)&amp;","&amp;LARGE(M24:M26,2)&amp;","&amp;LARGE(M24:M26,1)</f>
        <v>#N/A</v>
      </c>
      <c r="Q24" s="35" t="s">
        <v>381</v>
      </c>
      <c r="R24" s="35" t="str">
        <f>F3&amp;", "&amp;F5&amp;", "&amp;F11</f>
        <v>A.J. McClellan, Harper Villafana, .</v>
      </c>
      <c r="S24" s="35">
        <f t="shared" si="4"/>
        <v>0</v>
      </c>
      <c r="T24" s="35" t="s">
        <v>381</v>
      </c>
      <c r="U24" s="35" t="str">
        <f>J3&amp;", "&amp;J5&amp;", "&amp;J11</f>
        <v>A.J. McClellan, Danny Kosack, .</v>
      </c>
      <c r="V24" s="35">
        <f t="shared" si="5"/>
        <v>0</v>
      </c>
      <c r="X24" s="35"/>
      <c r="Y24" s="35"/>
      <c r="Z24" s="35"/>
      <c r="AA24" s="35"/>
      <c r="AB24" s="35"/>
      <c r="AC24" s="35"/>
      <c r="AD24" s="35"/>
    </row>
    <row r="25" spans="1:30" x14ac:dyDescent="0.2">
      <c r="A25" s="18" t="str">
        <f>A24</f>
        <v>1</v>
      </c>
      <c r="B25" s="45"/>
      <c r="C25" s="45"/>
      <c r="D25" s="45"/>
      <c r="E25" s="45"/>
      <c r="F25" s="46"/>
      <c r="G25" s="46"/>
      <c r="H25" s="46"/>
      <c r="I25" s="237" t="e">
        <f t="shared" si="0"/>
        <v>#N/A</v>
      </c>
      <c r="J25" s="46"/>
      <c r="K25" s="46"/>
      <c r="L25" s="46"/>
      <c r="M25" s="394" t="e">
        <f t="shared" si="1"/>
        <v>#N/A</v>
      </c>
      <c r="Q25" s="35" t="s">
        <v>382</v>
      </c>
      <c r="R25" s="35" t="str">
        <f>F3&amp;", "&amp;F6&amp;", "&amp;F7</f>
        <v>A.J. McClellan, Hunter Cooper, Jameson Clark</v>
      </c>
      <c r="S25" s="35">
        <f t="shared" si="4"/>
        <v>0</v>
      </c>
      <c r="T25" s="35" t="s">
        <v>382</v>
      </c>
      <c r="U25" s="35" t="str">
        <f>J3&amp;", "&amp;J6&amp;", "&amp;J7</f>
        <v>A.J. McClellan, Harper Villafana, Hunter Cooper</v>
      </c>
      <c r="V25" s="35">
        <f t="shared" si="5"/>
        <v>0</v>
      </c>
      <c r="X25" s="35"/>
      <c r="Y25" s="35"/>
      <c r="Z25" s="35"/>
      <c r="AA25" s="35"/>
      <c r="AB25" s="35"/>
      <c r="AC25" s="35"/>
      <c r="AD25" s="35"/>
    </row>
    <row r="26" spans="1:30" ht="13.5" thickBot="1" x14ac:dyDescent="0.25">
      <c r="A26" s="18" t="str">
        <f>A25</f>
        <v>1</v>
      </c>
      <c r="B26" s="45"/>
      <c r="E26" s="45"/>
      <c r="F26" s="47"/>
      <c r="G26" s="47"/>
      <c r="H26" s="47"/>
      <c r="I26" s="237" t="e">
        <f t="shared" si="0"/>
        <v>#N/A</v>
      </c>
      <c r="J26" s="47"/>
      <c r="K26" s="47"/>
      <c r="L26" s="47"/>
      <c r="M26" s="394" t="e">
        <f t="shared" si="1"/>
        <v>#N/A</v>
      </c>
      <c r="Q26" s="35" t="s">
        <v>383</v>
      </c>
      <c r="R26" s="35" t="str">
        <f>F3&amp;", "&amp;F6&amp;", "&amp;F8</f>
        <v>A.J. McClellan, Hunter Cooper, Remy Hollis</v>
      </c>
      <c r="S26" s="35">
        <f t="shared" si="4"/>
        <v>0</v>
      </c>
      <c r="T26" s="35" t="s">
        <v>383</v>
      </c>
      <c r="U26" s="35" t="str">
        <f>J3&amp;", "&amp;J6&amp;", "&amp;J8</f>
        <v>A.J. McClellan, Harper Villafana, Miller McCoy</v>
      </c>
      <c r="V26" s="35">
        <f t="shared" si="5"/>
        <v>0</v>
      </c>
      <c r="X26" s="35"/>
      <c r="Y26" s="35"/>
      <c r="Z26" s="35"/>
      <c r="AA26" s="35"/>
      <c r="AB26" s="35"/>
      <c r="AC26" s="35"/>
      <c r="AD26" s="35"/>
    </row>
    <row r="27" spans="1:30" ht="13.5" thickTop="1" x14ac:dyDescent="0.2">
      <c r="A27" s="42" t="str">
        <f>'Ballot Entry'!A18</f>
        <v>1</v>
      </c>
      <c r="B27" s="43">
        <f>'Ballot Entry'!B18</f>
        <v>602</v>
      </c>
      <c r="C27" s="43" t="s">
        <v>285</v>
      </c>
      <c r="D27" s="48"/>
      <c r="E27" s="45"/>
      <c r="F27" s="48"/>
      <c r="G27" s="48"/>
      <c r="H27" s="48"/>
      <c r="I27" s="237" t="e">
        <f t="shared" si="0"/>
        <v>#N/A</v>
      </c>
      <c r="J27" s="48"/>
      <c r="K27" s="48"/>
      <c r="L27" s="48"/>
      <c r="M27" s="394" t="e">
        <f t="shared" si="1"/>
        <v>#N/A</v>
      </c>
      <c r="N27" s="35" t="e">
        <f>LARGE(I27:I29,3)&amp;","&amp;LARGE(I27:I29,2)&amp;","&amp;LARGE(I27:I29,1)</f>
        <v>#N/A</v>
      </c>
      <c r="O27" s="35" t="e">
        <f>LARGE(M27:M29,3)&amp;","&amp;LARGE(M27:M29,2)&amp;","&amp;LARGE(M27:M29,1)</f>
        <v>#N/A</v>
      </c>
      <c r="Q27" s="35" t="s">
        <v>384</v>
      </c>
      <c r="R27" s="35" t="str">
        <f>F3&amp;", "&amp;F6&amp;", "&amp;F9</f>
        <v>A.J. McClellan, Hunter Cooper, Willoughby Hawkins</v>
      </c>
      <c r="S27" s="35">
        <f t="shared" si="4"/>
        <v>0</v>
      </c>
      <c r="T27" s="35" t="s">
        <v>384</v>
      </c>
      <c r="U27" s="35" t="str">
        <f>J3&amp;", "&amp;J6&amp;", "&amp;J9</f>
        <v>A.J. McClellan, Harper Villafana, Remy Hollis</v>
      </c>
      <c r="V27" s="35">
        <f t="shared" si="5"/>
        <v>0</v>
      </c>
      <c r="X27" s="35"/>
      <c r="Y27" s="35"/>
      <c r="Z27" s="35"/>
      <c r="AA27" s="35"/>
      <c r="AB27" s="35"/>
      <c r="AC27" s="35"/>
      <c r="AD27" s="35"/>
    </row>
    <row r="28" spans="1:30" x14ac:dyDescent="0.2">
      <c r="A28" s="18" t="str">
        <f>A27</f>
        <v>1</v>
      </c>
      <c r="B28" s="45"/>
      <c r="C28" s="45"/>
      <c r="D28" s="45"/>
      <c r="E28" s="45"/>
      <c r="F28" s="49"/>
      <c r="G28" s="49"/>
      <c r="H28" s="49"/>
      <c r="I28" s="237" t="e">
        <f t="shared" si="0"/>
        <v>#N/A</v>
      </c>
      <c r="J28" s="49"/>
      <c r="K28" s="49"/>
      <c r="L28" s="49"/>
      <c r="M28" s="394" t="e">
        <f t="shared" si="1"/>
        <v>#N/A</v>
      </c>
      <c r="Q28" s="35" t="s">
        <v>385</v>
      </c>
      <c r="R28" s="35" t="str">
        <f>F3&amp;", "&amp;F6&amp;", "&amp;F10</f>
        <v>A.J. McClellan, Hunter Cooper, .</v>
      </c>
      <c r="S28" s="35">
        <f t="shared" si="4"/>
        <v>0</v>
      </c>
      <c r="T28" s="35" t="s">
        <v>385</v>
      </c>
      <c r="U28" s="35" t="str">
        <f>J3&amp;", "&amp;J6&amp;", "&amp;J10</f>
        <v>A.J. McClellan, Harper Villafana, .</v>
      </c>
      <c r="V28" s="35">
        <f t="shared" si="5"/>
        <v>0</v>
      </c>
      <c r="X28" s="35"/>
      <c r="Y28" s="35"/>
      <c r="Z28" s="35"/>
      <c r="AA28" s="35"/>
      <c r="AB28" s="35"/>
      <c r="AC28" s="35"/>
      <c r="AD28" s="35"/>
    </row>
    <row r="29" spans="1:30" ht="13.5" thickBot="1" x14ac:dyDescent="0.25">
      <c r="A29" s="18" t="str">
        <f>A28</f>
        <v>1</v>
      </c>
      <c r="B29" s="45"/>
      <c r="E29" s="51"/>
      <c r="F29" s="50"/>
      <c r="G29" s="50"/>
      <c r="H29" s="50"/>
      <c r="I29" s="237" t="e">
        <f t="shared" si="0"/>
        <v>#N/A</v>
      </c>
      <c r="J29" s="50"/>
      <c r="K29" s="50"/>
      <c r="L29" s="50"/>
      <c r="M29" s="394" t="e">
        <f t="shared" si="1"/>
        <v>#N/A</v>
      </c>
      <c r="Q29" s="35" t="s">
        <v>386</v>
      </c>
      <c r="R29" s="35" t="str">
        <f>F3&amp;", "&amp;F6&amp;", "&amp;F11</f>
        <v>A.J. McClellan, Hunter Cooper, .</v>
      </c>
      <c r="S29" s="35">
        <f>COUNTIF($N$12:$N$388,Q51)</f>
        <v>0</v>
      </c>
      <c r="T29" s="35" t="s">
        <v>386</v>
      </c>
      <c r="U29" s="35" t="str">
        <f>J3&amp;", "&amp;J6&amp;", "&amp;J11</f>
        <v>A.J. McClellan, Harper Villafana, .</v>
      </c>
      <c r="V29" s="35">
        <f>COUNTIF($N$12:$N$388,T51)</f>
        <v>0</v>
      </c>
      <c r="X29" s="35"/>
      <c r="Y29" s="35"/>
      <c r="Z29" s="35"/>
      <c r="AA29" s="35"/>
      <c r="AB29" s="35"/>
      <c r="AC29" s="35"/>
      <c r="AD29" s="35"/>
    </row>
    <row r="30" spans="1:30" ht="13.5" thickTop="1" x14ac:dyDescent="0.2">
      <c r="A30" s="42" t="str">
        <f>'Ballot Entry'!A21</f>
        <v>1</v>
      </c>
      <c r="B30" s="43">
        <f>'Ballot Entry'!B21</f>
        <v>603</v>
      </c>
      <c r="C30" s="43" t="s">
        <v>285</v>
      </c>
      <c r="D30" s="44"/>
      <c r="E30" s="45"/>
      <c r="F30" s="44"/>
      <c r="G30" s="44"/>
      <c r="H30" s="44"/>
      <c r="I30" s="237" t="e">
        <f t="shared" si="0"/>
        <v>#N/A</v>
      </c>
      <c r="J30" s="44"/>
      <c r="K30" s="44"/>
      <c r="L30" s="44"/>
      <c r="M30" s="394" t="e">
        <f t="shared" si="1"/>
        <v>#N/A</v>
      </c>
      <c r="N30" s="35" t="e">
        <f>LARGE(I30:I32,3)&amp;","&amp;LARGE(I30:I32,2)&amp;","&amp;LARGE(I30:I32,1)</f>
        <v>#N/A</v>
      </c>
      <c r="O30" s="35" t="e">
        <f>LARGE(M30:M32,3)&amp;","&amp;LARGE(M30:M32,2)&amp;","&amp;LARGE(M30:M32,1)</f>
        <v>#N/A</v>
      </c>
      <c r="Q30" s="35" t="s">
        <v>176</v>
      </c>
      <c r="R30" s="35" t="str">
        <f>F4&amp;", "&amp;F5&amp;", "&amp;F6</f>
        <v>Alex Grace, Harper Villafana, Hunter Cooper</v>
      </c>
      <c r="S30" s="35">
        <f>COUNTIF($N$12:$N$388,Q52)</f>
        <v>0</v>
      </c>
      <c r="T30" s="35" t="s">
        <v>176</v>
      </c>
      <c r="U30" s="35" t="str">
        <f>J4&amp;", "&amp;J5&amp;", "&amp;J6</f>
        <v>Ashley Thornhill, Danny Kosack, Harper Villafana</v>
      </c>
      <c r="V30" s="35">
        <f>COUNTIF($N$12:$N$388,T52)</f>
        <v>0</v>
      </c>
      <c r="X30" s="35"/>
      <c r="Y30" s="35"/>
      <c r="Z30" s="35"/>
      <c r="AA30" s="35"/>
      <c r="AB30" s="35"/>
      <c r="AC30" s="35"/>
      <c r="AD30" s="35"/>
    </row>
    <row r="31" spans="1:30" x14ac:dyDescent="0.2">
      <c r="A31" s="18" t="str">
        <f>A30</f>
        <v>1</v>
      </c>
      <c r="B31" s="45"/>
      <c r="C31" s="45"/>
      <c r="D31" s="45"/>
      <c r="E31" s="45"/>
      <c r="F31" s="46"/>
      <c r="G31" s="46"/>
      <c r="H31" s="46"/>
      <c r="I31" s="237" t="e">
        <f t="shared" si="0"/>
        <v>#N/A</v>
      </c>
      <c r="J31" s="46"/>
      <c r="K31" s="46"/>
      <c r="L31" s="46"/>
      <c r="M31" s="394" t="e">
        <f t="shared" si="1"/>
        <v>#N/A</v>
      </c>
      <c r="Q31" s="35" t="s">
        <v>179</v>
      </c>
      <c r="R31" s="35" t="str">
        <f>F4&amp;", "&amp;F5&amp;", "&amp;F7</f>
        <v>Alex Grace, Harper Villafana, Jameson Clark</v>
      </c>
      <c r="S31" s="35">
        <f>COUNTIF($N$12:$N$388,Q53)</f>
        <v>0</v>
      </c>
      <c r="T31" s="35" t="s">
        <v>179</v>
      </c>
      <c r="U31" s="35" t="str">
        <f>J4&amp;", "&amp;J5&amp;", "&amp;J7</f>
        <v>Ashley Thornhill, Danny Kosack, Hunter Cooper</v>
      </c>
      <c r="V31" s="35">
        <f>COUNTIF($N$12:$N$388,T53)</f>
        <v>0</v>
      </c>
      <c r="X31" s="35"/>
      <c r="Y31" s="35"/>
      <c r="Z31" s="35"/>
      <c r="AA31" s="35"/>
      <c r="AB31" s="35"/>
      <c r="AC31" s="35"/>
      <c r="AD31" s="35"/>
    </row>
    <row r="32" spans="1:30" ht="13.5" thickBot="1" x14ac:dyDescent="0.25">
      <c r="A32" s="18" t="str">
        <f>A31</f>
        <v>1</v>
      </c>
      <c r="B32" s="45"/>
      <c r="E32" s="45"/>
      <c r="F32" s="47"/>
      <c r="G32" s="47"/>
      <c r="H32" s="47"/>
      <c r="I32" s="237" t="e">
        <f t="shared" si="0"/>
        <v>#N/A</v>
      </c>
      <c r="J32" s="47"/>
      <c r="K32" s="47"/>
      <c r="L32" s="47"/>
      <c r="M32" s="394" t="e">
        <f t="shared" si="1"/>
        <v>#N/A</v>
      </c>
      <c r="Q32" s="35" t="s">
        <v>177</v>
      </c>
      <c r="R32" s="35" t="str">
        <f>F4&amp;", "&amp;F5&amp;", "&amp;F8</f>
        <v>Alex Grace, Harper Villafana, Remy Hollis</v>
      </c>
      <c r="S32" s="35">
        <f>COUNTIF($N$12:$N$388,Q54)</f>
        <v>0</v>
      </c>
      <c r="T32" s="35" t="s">
        <v>177</v>
      </c>
      <c r="U32" s="35" t="str">
        <f>J4&amp;", "&amp;J5&amp;", "&amp;J8</f>
        <v>Ashley Thornhill, Danny Kosack, Miller McCoy</v>
      </c>
      <c r="V32" s="35">
        <f>COUNTIF($N$12:$N$388,T54)</f>
        <v>0</v>
      </c>
      <c r="X32" s="35"/>
      <c r="Y32" s="35"/>
      <c r="Z32" s="35"/>
      <c r="AA32" s="35"/>
      <c r="AB32" s="35"/>
      <c r="AC32" s="35"/>
      <c r="AD32" s="35"/>
    </row>
    <row r="33" spans="1:30" ht="13.5" thickTop="1" x14ac:dyDescent="0.2">
      <c r="A33" s="42" t="str">
        <f>'Ballot Entry'!A24</f>
        <v>1</v>
      </c>
      <c r="B33" s="43">
        <f>'Ballot Entry'!B24</f>
        <v>604</v>
      </c>
      <c r="C33" s="43" t="s">
        <v>285</v>
      </c>
      <c r="D33" s="48"/>
      <c r="E33" s="45"/>
      <c r="F33" s="48"/>
      <c r="G33" s="48"/>
      <c r="H33" s="48"/>
      <c r="I33" s="237" t="e">
        <f t="shared" si="0"/>
        <v>#N/A</v>
      </c>
      <c r="J33" s="48"/>
      <c r="K33" s="48"/>
      <c r="L33" s="48"/>
      <c r="M33" s="394" t="e">
        <f t="shared" si="1"/>
        <v>#N/A</v>
      </c>
      <c r="N33" s="35" t="e">
        <f>LARGE(I33:I35,3)&amp;","&amp;LARGE(I33:I35,2)&amp;","&amp;LARGE(I33:I35,1)</f>
        <v>#N/A</v>
      </c>
      <c r="O33" s="35" t="e">
        <f>LARGE(M33:M35,3)&amp;","&amp;LARGE(M33:M35,2)&amp;","&amp;LARGE(M33:M35,1)</f>
        <v>#N/A</v>
      </c>
      <c r="Q33" s="35" t="s">
        <v>185</v>
      </c>
      <c r="R33" s="35" t="str">
        <f>F4&amp;", "&amp;F5&amp;", "&amp;F9</f>
        <v>Alex Grace, Harper Villafana, Willoughby Hawkins</v>
      </c>
      <c r="S33" s="35">
        <f>COUNTIF($N$12:$N$388,Q55)</f>
        <v>0</v>
      </c>
      <c r="T33" s="35" t="s">
        <v>185</v>
      </c>
      <c r="U33" s="35" t="str">
        <f>J4&amp;", "&amp;J5&amp;", "&amp;J9</f>
        <v>Ashley Thornhill, Danny Kosack, Remy Hollis</v>
      </c>
      <c r="V33" s="35">
        <f>COUNTIF($N$12:$N$388,T55)</f>
        <v>0</v>
      </c>
      <c r="X33" s="35"/>
      <c r="Y33" s="35"/>
      <c r="Z33" s="35"/>
      <c r="AA33" s="35"/>
      <c r="AB33" s="35"/>
      <c r="AC33" s="35"/>
      <c r="AD33" s="35"/>
    </row>
    <row r="34" spans="1:30" x14ac:dyDescent="0.2">
      <c r="A34" s="18" t="str">
        <f>A33</f>
        <v>1</v>
      </c>
      <c r="B34" s="45"/>
      <c r="C34" s="45"/>
      <c r="D34" s="45"/>
      <c r="E34" s="45"/>
      <c r="F34" s="49"/>
      <c r="G34" s="49"/>
      <c r="H34" s="49"/>
      <c r="I34" s="237" t="e">
        <f t="shared" si="0"/>
        <v>#N/A</v>
      </c>
      <c r="J34" s="49"/>
      <c r="K34" s="49"/>
      <c r="L34" s="49"/>
      <c r="M34" s="394" t="e">
        <f t="shared" si="1"/>
        <v>#N/A</v>
      </c>
      <c r="Q34" s="35" t="s">
        <v>193</v>
      </c>
      <c r="R34" s="35" t="str">
        <f>F4&amp;", "&amp;F5&amp;", "&amp;F10</f>
        <v>Alex Grace, Harper Villafana, .</v>
      </c>
      <c r="S34" s="35">
        <f>COUNTIF($N$12:$N$388,Q66)</f>
        <v>0</v>
      </c>
      <c r="T34" s="35" t="s">
        <v>193</v>
      </c>
      <c r="U34" s="35" t="str">
        <f>J4&amp;", "&amp;J5&amp;", "&amp;J10</f>
        <v>Ashley Thornhill, Danny Kosack, .</v>
      </c>
      <c r="V34" s="35">
        <f>COUNTIF($N$12:$N$388,T66)</f>
        <v>0</v>
      </c>
      <c r="X34" s="35"/>
      <c r="Y34" s="35"/>
      <c r="Z34" s="35"/>
      <c r="AA34" s="35"/>
      <c r="AB34" s="35"/>
      <c r="AC34" s="35"/>
      <c r="AD34" s="35"/>
    </row>
    <row r="35" spans="1:30" ht="13.5" thickBot="1" x14ac:dyDescent="0.25">
      <c r="A35" s="18" t="str">
        <f>A34</f>
        <v>1</v>
      </c>
      <c r="B35" s="45"/>
      <c r="E35" s="51"/>
      <c r="F35" s="50"/>
      <c r="G35" s="50"/>
      <c r="H35" s="50"/>
      <c r="I35" s="237" t="e">
        <f t="shared" si="0"/>
        <v>#N/A</v>
      </c>
      <c r="J35" s="50"/>
      <c r="K35" s="50"/>
      <c r="L35" s="50"/>
      <c r="M35" s="394" t="e">
        <f t="shared" si="1"/>
        <v>#N/A</v>
      </c>
      <c r="Q35" s="35" t="s">
        <v>195</v>
      </c>
      <c r="R35" s="35" t="str">
        <f>F4&amp;", "&amp;F5&amp;", "&amp;F11</f>
        <v>Alex Grace, Harper Villafana, .</v>
      </c>
      <c r="S35" s="35">
        <f>COUNTIF($N$12:$N$388,Q67)</f>
        <v>0</v>
      </c>
      <c r="T35" s="35" t="s">
        <v>195</v>
      </c>
      <c r="U35" s="35" t="str">
        <f>J4&amp;", "&amp;J5&amp;", "&amp;J11</f>
        <v>Ashley Thornhill, Danny Kosack, .</v>
      </c>
      <c r="V35" s="35">
        <f>COUNTIF($N$12:$N$388,T67)</f>
        <v>0</v>
      </c>
      <c r="X35" s="35"/>
      <c r="Y35" s="35"/>
      <c r="Z35" s="35"/>
      <c r="AA35" s="35"/>
      <c r="AB35" s="35"/>
      <c r="AC35" s="35"/>
      <c r="AD35" s="35"/>
    </row>
    <row r="36" spans="1:30" ht="13.5" thickTop="1" x14ac:dyDescent="0.2">
      <c r="A36" s="42" t="str">
        <f>'Ballot Entry'!A27</f>
        <v>1</v>
      </c>
      <c r="B36" s="43" t="str">
        <f>'Ballot Entry'!B27</f>
        <v>MCR - 7th</v>
      </c>
      <c r="C36" s="43" t="s">
        <v>285</v>
      </c>
      <c r="D36" s="44"/>
      <c r="E36" s="45"/>
      <c r="F36" s="44"/>
      <c r="G36" s="44"/>
      <c r="H36" s="44"/>
      <c r="I36" s="237" t="e">
        <f t="shared" si="0"/>
        <v>#N/A</v>
      </c>
      <c r="J36" s="44"/>
      <c r="K36" s="44"/>
      <c r="L36" s="44"/>
      <c r="M36" s="394" t="e">
        <f t="shared" si="1"/>
        <v>#N/A</v>
      </c>
      <c r="N36" s="35" t="e">
        <f>LARGE(I36:I38,3)&amp;","&amp;LARGE(I36:I38,2)&amp;","&amp;LARGE(I36:I38,1)</f>
        <v>#N/A</v>
      </c>
      <c r="O36" s="35" t="e">
        <f>LARGE(M36:M38,3)&amp;","&amp;LARGE(M36:M38,2)&amp;","&amp;LARGE(M36:M38,1)</f>
        <v>#N/A</v>
      </c>
      <c r="Q36" s="35" t="s">
        <v>387</v>
      </c>
      <c r="R36" s="35" t="str">
        <f>F4&amp;", "&amp;F6&amp;", "&amp;F7</f>
        <v>Alex Grace, Hunter Cooper, Jameson Clark</v>
      </c>
      <c r="S36" s="35">
        <f>COUNTIF($N$12:$N$388,Q68)</f>
        <v>0</v>
      </c>
      <c r="T36" s="35" t="s">
        <v>387</v>
      </c>
      <c r="U36" s="35" t="str">
        <f>J4&amp;", "&amp;J6&amp;", "&amp;J7</f>
        <v>Ashley Thornhill, Harper Villafana, Hunter Cooper</v>
      </c>
      <c r="V36" s="35">
        <f>COUNTIF($N$12:$N$388,T68)</f>
        <v>0</v>
      </c>
      <c r="X36" s="35"/>
      <c r="Y36" s="35"/>
      <c r="Z36" s="35"/>
      <c r="AA36" s="35"/>
      <c r="AB36" s="35"/>
      <c r="AC36" s="35"/>
      <c r="AD36" s="35"/>
    </row>
    <row r="37" spans="1:30" x14ac:dyDescent="0.2">
      <c r="A37" s="18" t="str">
        <f>A36</f>
        <v>1</v>
      </c>
      <c r="B37" s="45"/>
      <c r="C37" s="45"/>
      <c r="D37" s="45"/>
      <c r="E37" s="45"/>
      <c r="F37" s="46"/>
      <c r="G37" s="46"/>
      <c r="H37" s="46"/>
      <c r="I37" s="237" t="e">
        <f t="shared" si="0"/>
        <v>#N/A</v>
      </c>
      <c r="J37" s="46"/>
      <c r="K37" s="46"/>
      <c r="L37" s="46"/>
      <c r="M37" s="394" t="e">
        <f t="shared" si="1"/>
        <v>#N/A</v>
      </c>
      <c r="Q37" s="35" t="s">
        <v>390</v>
      </c>
      <c r="R37" s="35" t="str">
        <f>F4&amp;", "&amp;F6&amp;", "&amp;F8</f>
        <v>Alex Grace, Hunter Cooper, Remy Hollis</v>
      </c>
      <c r="S37" s="35">
        <f>COUNTIF($N$12:$N$388,Q69)</f>
        <v>0</v>
      </c>
      <c r="T37" s="35" t="s">
        <v>390</v>
      </c>
      <c r="U37" s="35" t="str">
        <f>J4&amp;", "&amp;J6&amp;", "&amp;J8</f>
        <v>Ashley Thornhill, Harper Villafana, Miller McCoy</v>
      </c>
      <c r="V37" s="35">
        <f>COUNTIF($N$12:$N$388,T69)</f>
        <v>0</v>
      </c>
      <c r="X37" s="35"/>
      <c r="Y37" s="35"/>
      <c r="Z37" s="35"/>
      <c r="AA37" s="35"/>
      <c r="AB37" s="35"/>
      <c r="AC37" s="35"/>
      <c r="AD37" s="35"/>
    </row>
    <row r="38" spans="1:30" ht="13.5" thickBot="1" x14ac:dyDescent="0.25">
      <c r="A38" s="18" t="str">
        <f>A37</f>
        <v>1</v>
      </c>
      <c r="B38" s="45"/>
      <c r="E38" s="45"/>
      <c r="F38" s="47"/>
      <c r="G38" s="47"/>
      <c r="H38" s="47"/>
      <c r="I38" s="237" t="e">
        <f t="shared" si="0"/>
        <v>#N/A</v>
      </c>
      <c r="J38" s="47"/>
      <c r="K38" s="47"/>
      <c r="L38" s="47"/>
      <c r="M38" s="394" t="e">
        <f t="shared" si="1"/>
        <v>#N/A</v>
      </c>
      <c r="Q38" s="35" t="s">
        <v>391</v>
      </c>
      <c r="R38" s="35" t="str">
        <f>F4&amp;", "&amp;F6&amp;", "&amp;F9</f>
        <v>Alex Grace, Hunter Cooper, Willoughby Hawkins</v>
      </c>
      <c r="S38" s="35">
        <f>COUNTIF($N$12:$N$388,Q76)</f>
        <v>0</v>
      </c>
      <c r="T38" s="35" t="s">
        <v>391</v>
      </c>
      <c r="U38" s="35" t="str">
        <f>J4&amp;", "&amp;J6&amp;", "&amp;J9</f>
        <v>Ashley Thornhill, Harper Villafana, Remy Hollis</v>
      </c>
      <c r="V38" s="35">
        <f>COUNTIF($N$12:$N$388,T76)</f>
        <v>0</v>
      </c>
      <c r="X38" s="35"/>
      <c r="Y38" s="35"/>
      <c r="Z38" s="35"/>
      <c r="AA38" s="35"/>
      <c r="AB38" s="35"/>
      <c r="AC38" s="35"/>
      <c r="AD38" s="35"/>
    </row>
    <row r="39" spans="1:30" ht="13.5" thickTop="1" x14ac:dyDescent="0.2">
      <c r="A39" s="42" t="str">
        <f>'Ballot Entry'!A30</f>
        <v>Hide</v>
      </c>
      <c r="B39" s="43">
        <f>'Ballot Entry'!B30</f>
        <v>0</v>
      </c>
      <c r="C39" s="43" t="s">
        <v>285</v>
      </c>
      <c r="D39" s="48"/>
      <c r="E39" s="45"/>
      <c r="F39" s="48"/>
      <c r="G39" s="48"/>
      <c r="H39" s="48"/>
      <c r="I39" s="237" t="e">
        <f t="shared" si="0"/>
        <v>#N/A</v>
      </c>
      <c r="J39" s="48"/>
      <c r="K39" s="48"/>
      <c r="L39" s="48"/>
      <c r="M39" s="394" t="e">
        <f t="shared" si="1"/>
        <v>#N/A</v>
      </c>
      <c r="N39" s="35" t="e">
        <f>LARGE(I39:I41,3)&amp;","&amp;LARGE(I39:I41,2)&amp;","&amp;LARGE(I39:I41,1)</f>
        <v>#N/A</v>
      </c>
      <c r="O39" s="35" t="e">
        <f>LARGE(M39:M41,3)&amp;","&amp;LARGE(M39:M41,2)&amp;","&amp;LARGE(M39:M41,1)</f>
        <v>#N/A</v>
      </c>
      <c r="Q39" s="35" t="s">
        <v>392</v>
      </c>
      <c r="R39" s="35" t="str">
        <f>F4&amp;", "&amp;F6&amp;", "&amp;F10</f>
        <v>Alex Grace, Hunter Cooper, .</v>
      </c>
      <c r="S39" s="35">
        <f>COUNTIF($N$12:$N$388,Q77)</f>
        <v>0</v>
      </c>
      <c r="T39" s="35" t="s">
        <v>392</v>
      </c>
      <c r="U39" s="35" t="str">
        <f>J4&amp;", "&amp;J6&amp;", "&amp;J10</f>
        <v>Ashley Thornhill, Harper Villafana, .</v>
      </c>
      <c r="V39" s="35">
        <f>COUNTIF($N$12:$N$388,T77)</f>
        <v>0</v>
      </c>
      <c r="X39" s="35"/>
      <c r="Y39" s="35"/>
      <c r="Z39" s="35"/>
      <c r="AA39" s="35"/>
      <c r="AB39" s="35"/>
      <c r="AC39" s="35"/>
      <c r="AD39" s="35"/>
    </row>
    <row r="40" spans="1:30" x14ac:dyDescent="0.2">
      <c r="A40" s="18" t="str">
        <f>A39</f>
        <v>Hide</v>
      </c>
      <c r="B40" s="45"/>
      <c r="C40" s="45"/>
      <c r="D40" s="45"/>
      <c r="E40" s="45"/>
      <c r="F40" s="49"/>
      <c r="G40" s="49"/>
      <c r="H40" s="49"/>
      <c r="I40" s="237" t="e">
        <f t="shared" si="0"/>
        <v>#N/A</v>
      </c>
      <c r="J40" s="49"/>
      <c r="K40" s="49"/>
      <c r="L40" s="49"/>
      <c r="M40" s="394" t="e">
        <f t="shared" si="1"/>
        <v>#N/A</v>
      </c>
      <c r="Q40" s="35" t="s">
        <v>393</v>
      </c>
      <c r="R40" s="35" t="str">
        <f>F4&amp;", "&amp;F6&amp;", "&amp;F11</f>
        <v>Alex Grace, Hunter Cooper, .</v>
      </c>
      <c r="S40" s="35">
        <f>COUNTIF($N$12:$N$388,Q78)</f>
        <v>0</v>
      </c>
      <c r="T40" s="35" t="s">
        <v>393</v>
      </c>
      <c r="U40" s="35" t="str">
        <f>J4&amp;", "&amp;J6&amp;", "&amp;J11</f>
        <v>Ashley Thornhill, Harper Villafana, .</v>
      </c>
      <c r="V40" s="35">
        <f>COUNTIF($N$12:$N$388,T78)</f>
        <v>0</v>
      </c>
      <c r="X40" s="35"/>
      <c r="Y40" s="35"/>
      <c r="Z40" s="35"/>
      <c r="AA40" s="35"/>
      <c r="AB40" s="35"/>
      <c r="AC40" s="35"/>
      <c r="AD40" s="35"/>
    </row>
    <row r="41" spans="1:30" ht="13.5" thickBot="1" x14ac:dyDescent="0.25">
      <c r="A41" s="18" t="str">
        <f>A40</f>
        <v>Hide</v>
      </c>
      <c r="B41" s="45"/>
      <c r="E41" s="51"/>
      <c r="F41" s="50"/>
      <c r="G41" s="50"/>
      <c r="H41" s="50"/>
      <c r="I41" s="237" t="e">
        <f t="shared" si="0"/>
        <v>#N/A</v>
      </c>
      <c r="J41" s="50"/>
      <c r="K41" s="50"/>
      <c r="L41" s="50"/>
      <c r="M41" s="394" t="e">
        <f t="shared" si="1"/>
        <v>#N/A</v>
      </c>
      <c r="Q41" s="35" t="s">
        <v>388</v>
      </c>
      <c r="R41" s="35" t="str">
        <f>F4&amp;", "&amp;F7&amp;", "&amp;F8</f>
        <v>Alex Grace, Jameson Clark, Remy Hollis</v>
      </c>
      <c r="S41" s="35">
        <f>COUNTIF($N$12:$N$388,Q82)</f>
        <v>0</v>
      </c>
      <c r="T41" s="35" t="s">
        <v>388</v>
      </c>
      <c r="U41" s="35" t="str">
        <f>J4&amp;", "&amp;J7&amp;", "&amp;J8</f>
        <v>Ashley Thornhill, Hunter Cooper, Miller McCoy</v>
      </c>
      <c r="V41" s="35">
        <f>COUNTIF($N$12:$N$388,T82)</f>
        <v>0</v>
      </c>
      <c r="X41" s="35"/>
      <c r="Y41" s="35"/>
      <c r="Z41" s="35"/>
      <c r="AA41" s="35"/>
      <c r="AB41" s="35"/>
      <c r="AC41" s="35"/>
      <c r="AD41" s="35"/>
    </row>
    <row r="42" spans="1:30" ht="13.5" thickTop="1" x14ac:dyDescent="0.2">
      <c r="A42" s="42" t="str">
        <f>'Ballot Entry'!A33</f>
        <v>Hide</v>
      </c>
      <c r="B42" s="43">
        <f>'Ballot Entry'!B33</f>
        <v>0</v>
      </c>
      <c r="C42" s="43" t="s">
        <v>285</v>
      </c>
      <c r="D42" s="44"/>
      <c r="E42" s="45"/>
      <c r="F42" s="44"/>
      <c r="G42" s="44"/>
      <c r="H42" s="44"/>
      <c r="I42" s="237" t="e">
        <f t="shared" si="0"/>
        <v>#N/A</v>
      </c>
      <c r="J42" s="44"/>
      <c r="K42" s="44"/>
      <c r="L42" s="44"/>
      <c r="M42" s="394" t="e">
        <f t="shared" si="1"/>
        <v>#N/A</v>
      </c>
      <c r="N42" s="35" t="e">
        <f>LARGE(I42:I44,3)&amp;","&amp;LARGE(I42:I44,2)&amp;","&amp;LARGE(I42:I44,1)</f>
        <v>#N/A</v>
      </c>
      <c r="O42" s="35" t="e">
        <f>LARGE(M42:M44,3)&amp;","&amp;LARGE(M42:M44,2)&amp;","&amp;LARGE(M42:M44,1)</f>
        <v>#N/A</v>
      </c>
      <c r="Q42" s="35" t="s">
        <v>394</v>
      </c>
      <c r="R42" s="35" t="str">
        <f>F4&amp;", "&amp;F7&amp;", "&amp;F9</f>
        <v>Alex Grace, Jameson Clark, Willoughby Hawkins</v>
      </c>
      <c r="S42" s="35">
        <f t="shared" ref="S42:S85" si="6">COUNTIF($N$12:$N$388,Q42)</f>
        <v>0</v>
      </c>
      <c r="T42" s="35" t="s">
        <v>394</v>
      </c>
      <c r="U42" s="35" t="str">
        <f>J4&amp;", "&amp;J7&amp;", "&amp;J9</f>
        <v>Ashley Thornhill, Hunter Cooper, Remy Hollis</v>
      </c>
      <c r="V42" s="35">
        <f t="shared" ref="V42:V85" si="7">COUNTIF($N$12:$N$388,T42)</f>
        <v>0</v>
      </c>
      <c r="X42" s="35"/>
      <c r="Y42" s="35"/>
      <c r="Z42" s="35"/>
      <c r="AA42" s="35"/>
      <c r="AB42" s="35"/>
      <c r="AC42" s="35"/>
      <c r="AD42" s="35"/>
    </row>
    <row r="43" spans="1:30" x14ac:dyDescent="0.2">
      <c r="A43" s="18" t="str">
        <f>A42</f>
        <v>Hide</v>
      </c>
      <c r="B43" s="45"/>
      <c r="C43" s="45"/>
      <c r="D43" s="45"/>
      <c r="E43" s="45"/>
      <c r="F43" s="46"/>
      <c r="G43" s="46"/>
      <c r="H43" s="46"/>
      <c r="I43" s="237" t="e">
        <f t="shared" si="0"/>
        <v>#N/A</v>
      </c>
      <c r="J43" s="46"/>
      <c r="K43" s="46"/>
      <c r="L43" s="46"/>
      <c r="M43" s="394" t="e">
        <f t="shared" si="1"/>
        <v>#N/A</v>
      </c>
      <c r="Q43" s="35" t="s">
        <v>395</v>
      </c>
      <c r="R43" s="35" t="str">
        <f>F4&amp;", "&amp;F7&amp;", "&amp;F10</f>
        <v>Alex Grace, Jameson Clark, .</v>
      </c>
      <c r="S43" s="35">
        <f t="shared" si="6"/>
        <v>0</v>
      </c>
      <c r="T43" s="35" t="s">
        <v>395</v>
      </c>
      <c r="U43" s="35" t="str">
        <f>J4&amp;", "&amp;J7&amp;", "&amp;J10</f>
        <v>Ashley Thornhill, Hunter Cooper, .</v>
      </c>
      <c r="V43" s="35">
        <f t="shared" si="7"/>
        <v>0</v>
      </c>
      <c r="X43" s="35"/>
      <c r="Y43" s="35"/>
      <c r="Z43" s="35"/>
      <c r="AA43" s="35"/>
      <c r="AB43" s="35"/>
      <c r="AC43" s="35"/>
      <c r="AD43" s="35"/>
    </row>
    <row r="44" spans="1:30" ht="13.5" thickBot="1" x14ac:dyDescent="0.25">
      <c r="A44" s="18" t="str">
        <f>A43</f>
        <v>Hide</v>
      </c>
      <c r="B44" s="45"/>
      <c r="E44" s="45"/>
      <c r="F44" s="47"/>
      <c r="G44" s="47"/>
      <c r="H44" s="47"/>
      <c r="I44" s="237" t="e">
        <f t="shared" si="0"/>
        <v>#N/A</v>
      </c>
      <c r="J44" s="47"/>
      <c r="K44" s="47"/>
      <c r="L44" s="47"/>
      <c r="M44" s="394" t="e">
        <f t="shared" si="1"/>
        <v>#N/A</v>
      </c>
      <c r="Q44" s="35" t="s">
        <v>396</v>
      </c>
      <c r="R44" s="35" t="str">
        <f>F4&amp;", "&amp;F7&amp;", "&amp;F11</f>
        <v>Alex Grace, Jameson Clark, .</v>
      </c>
      <c r="S44" s="35">
        <f t="shared" si="6"/>
        <v>0</v>
      </c>
      <c r="T44" s="35" t="s">
        <v>396</v>
      </c>
      <c r="U44" s="35" t="str">
        <f>J4&amp;", "&amp;J7&amp;", "&amp;J11</f>
        <v>Ashley Thornhill, Hunter Cooper, .</v>
      </c>
      <c r="V44" s="35">
        <f t="shared" si="7"/>
        <v>0</v>
      </c>
      <c r="X44" s="35"/>
      <c r="Y44" s="35"/>
      <c r="Z44" s="35"/>
      <c r="AA44" s="35"/>
      <c r="AB44" s="35"/>
      <c r="AC44" s="35"/>
      <c r="AD44" s="35"/>
    </row>
    <row r="45" spans="1:30" ht="13.5" thickTop="1" x14ac:dyDescent="0.2">
      <c r="A45" s="42" t="str">
        <f>'Ballot Entry'!A36</f>
        <v>Hide</v>
      </c>
      <c r="B45" s="43">
        <f>'Ballot Entry'!B36</f>
        <v>0</v>
      </c>
      <c r="C45" s="43" t="s">
        <v>285</v>
      </c>
      <c r="D45" s="48"/>
      <c r="E45" s="45"/>
      <c r="F45" s="48"/>
      <c r="G45" s="48"/>
      <c r="H45" s="48"/>
      <c r="I45" s="237" t="e">
        <f t="shared" si="0"/>
        <v>#N/A</v>
      </c>
      <c r="J45" s="48"/>
      <c r="K45" s="48"/>
      <c r="L45" s="48"/>
      <c r="M45" s="394" t="e">
        <f t="shared" si="1"/>
        <v>#N/A</v>
      </c>
      <c r="N45" s="35" t="e">
        <f>LARGE(I45:I47,3)&amp;","&amp;LARGE(I45:I47,2)&amp;","&amp;LARGE(I45:I47,1)</f>
        <v>#N/A</v>
      </c>
      <c r="O45" s="35" t="e">
        <f>LARGE(M45:M47,3)&amp;","&amp;LARGE(M45:M47,2)&amp;","&amp;LARGE(M45:M47,1)</f>
        <v>#N/A</v>
      </c>
      <c r="Q45" s="35" t="s">
        <v>389</v>
      </c>
      <c r="R45" s="35" t="str">
        <f>F4&amp;", "&amp;F8&amp;", "&amp;F9</f>
        <v>Alex Grace, Remy Hollis, Willoughby Hawkins</v>
      </c>
      <c r="S45" s="35">
        <f t="shared" si="6"/>
        <v>0</v>
      </c>
      <c r="T45" s="35" t="s">
        <v>389</v>
      </c>
      <c r="U45" s="35" t="str">
        <f>J4&amp;", "&amp;J8&amp;", "&amp;J9</f>
        <v>Ashley Thornhill, Miller McCoy, Remy Hollis</v>
      </c>
      <c r="V45" s="35">
        <f t="shared" si="7"/>
        <v>0</v>
      </c>
      <c r="X45" s="35"/>
      <c r="Y45" s="35"/>
      <c r="Z45" s="35"/>
      <c r="AA45" s="35"/>
      <c r="AB45" s="35"/>
      <c r="AC45" s="35"/>
      <c r="AD45" s="35"/>
    </row>
    <row r="46" spans="1:30" x14ac:dyDescent="0.2">
      <c r="A46" s="18" t="str">
        <f>A45</f>
        <v>Hide</v>
      </c>
      <c r="B46" s="45"/>
      <c r="C46" s="45"/>
      <c r="D46" s="45"/>
      <c r="E46" s="45"/>
      <c r="F46" s="49"/>
      <c r="G46" s="49"/>
      <c r="H46" s="49"/>
      <c r="I46" s="237" t="e">
        <f t="shared" si="0"/>
        <v>#N/A</v>
      </c>
      <c r="J46" s="49"/>
      <c r="K46" s="49"/>
      <c r="L46" s="49"/>
      <c r="M46" s="394" t="e">
        <f t="shared" si="1"/>
        <v>#N/A</v>
      </c>
      <c r="Q46" s="35" t="s">
        <v>397</v>
      </c>
      <c r="R46" s="35" t="str">
        <f>F4&amp;", "&amp;F8&amp;", "&amp;F10</f>
        <v>Alex Grace, Remy Hollis, .</v>
      </c>
      <c r="S46" s="35">
        <f t="shared" si="6"/>
        <v>0</v>
      </c>
      <c r="T46" s="35" t="s">
        <v>397</v>
      </c>
      <c r="U46" s="35" t="str">
        <f>J4&amp;", "&amp;J8&amp;", "&amp;J10</f>
        <v>Ashley Thornhill, Miller McCoy, .</v>
      </c>
      <c r="V46" s="35">
        <f t="shared" si="7"/>
        <v>0</v>
      </c>
      <c r="X46" s="35"/>
      <c r="Y46" s="35"/>
      <c r="Z46" s="35"/>
      <c r="AA46" s="35"/>
      <c r="AB46" s="35"/>
      <c r="AC46" s="35"/>
      <c r="AD46" s="35"/>
    </row>
    <row r="47" spans="1:30" ht="13.5" thickBot="1" x14ac:dyDescent="0.25">
      <c r="A47" s="18" t="str">
        <f>A46</f>
        <v>Hide</v>
      </c>
      <c r="B47" s="45"/>
      <c r="E47" s="51"/>
      <c r="F47" s="50"/>
      <c r="G47" s="50"/>
      <c r="H47" s="50"/>
      <c r="I47" s="237" t="e">
        <f t="shared" si="0"/>
        <v>#N/A</v>
      </c>
      <c r="J47" s="50"/>
      <c r="K47" s="50"/>
      <c r="L47" s="50"/>
      <c r="M47" s="394" t="e">
        <f t="shared" si="1"/>
        <v>#N/A</v>
      </c>
      <c r="Q47" s="35" t="s">
        <v>398</v>
      </c>
      <c r="R47" s="35" t="str">
        <f>F4&amp;", "&amp;F8&amp;", "&amp;F11</f>
        <v>Alex Grace, Remy Hollis, .</v>
      </c>
      <c r="S47" s="35">
        <f t="shared" si="6"/>
        <v>0</v>
      </c>
      <c r="T47" s="35" t="s">
        <v>398</v>
      </c>
      <c r="U47" s="35" t="str">
        <f>J4&amp;", "&amp;J8&amp;", "&amp;J11</f>
        <v>Ashley Thornhill, Miller McCoy, .</v>
      </c>
      <c r="V47" s="35">
        <f t="shared" si="7"/>
        <v>0</v>
      </c>
      <c r="X47" s="35"/>
      <c r="Y47" s="35"/>
      <c r="Z47" s="35"/>
      <c r="AA47" s="35"/>
      <c r="AB47" s="35"/>
      <c r="AC47" s="35"/>
      <c r="AD47" s="35"/>
    </row>
    <row r="48" spans="1:30" ht="13.5" thickTop="1" x14ac:dyDescent="0.2">
      <c r="A48" s="42" t="str">
        <f>'Ballot Entry'!A39</f>
        <v>Hide</v>
      </c>
      <c r="B48" s="43">
        <f>'Ballot Entry'!B39</f>
        <v>0</v>
      </c>
      <c r="C48" s="43" t="s">
        <v>285</v>
      </c>
      <c r="D48" s="44"/>
      <c r="E48" s="45"/>
      <c r="F48" s="44"/>
      <c r="G48" s="44"/>
      <c r="H48" s="44"/>
      <c r="I48" s="237" t="e">
        <f t="shared" si="0"/>
        <v>#N/A</v>
      </c>
      <c r="J48" s="44"/>
      <c r="K48" s="44"/>
      <c r="L48" s="44"/>
      <c r="M48" s="394" t="e">
        <f t="shared" si="1"/>
        <v>#N/A</v>
      </c>
      <c r="N48" s="35" t="e">
        <f>LARGE(I48:I50,3)&amp;","&amp;LARGE(I48:I50,2)&amp;","&amp;LARGE(I48:I50,1)</f>
        <v>#N/A</v>
      </c>
      <c r="O48" s="35" t="e">
        <f>LARGE(M48:M50,3)&amp;","&amp;LARGE(M48:M50,2)&amp;","&amp;LARGE(M48:M50,1)</f>
        <v>#N/A</v>
      </c>
      <c r="Q48" s="35" t="s">
        <v>399</v>
      </c>
      <c r="R48" s="35" t="str">
        <f>F4&amp;", "&amp;F9&amp;", "&amp;F10</f>
        <v>Alex Grace, Willoughby Hawkins, .</v>
      </c>
      <c r="S48" s="35">
        <f t="shared" si="6"/>
        <v>0</v>
      </c>
      <c r="T48" s="35" t="s">
        <v>399</v>
      </c>
      <c r="U48" s="35" t="str">
        <f>J4&amp;", "&amp;J9&amp;", "&amp;J10</f>
        <v>Ashley Thornhill, Remy Hollis, .</v>
      </c>
      <c r="V48" s="35">
        <f t="shared" si="7"/>
        <v>0</v>
      </c>
      <c r="X48" s="35"/>
      <c r="Y48" s="35"/>
      <c r="Z48" s="35"/>
      <c r="AA48" s="35"/>
      <c r="AB48" s="35"/>
      <c r="AC48" s="35"/>
      <c r="AD48" s="35"/>
    </row>
    <row r="49" spans="1:30" x14ac:dyDescent="0.2">
      <c r="A49" s="18" t="str">
        <f>A48</f>
        <v>Hide</v>
      </c>
      <c r="B49" s="45"/>
      <c r="C49" s="45"/>
      <c r="D49" s="45"/>
      <c r="E49" s="45"/>
      <c r="F49" s="46"/>
      <c r="G49" s="46"/>
      <c r="H49" s="46"/>
      <c r="I49" s="237" t="e">
        <f t="shared" si="0"/>
        <v>#N/A</v>
      </c>
      <c r="J49" s="46"/>
      <c r="K49" s="46"/>
      <c r="L49" s="46"/>
      <c r="M49" s="394" t="e">
        <f t="shared" si="1"/>
        <v>#N/A</v>
      </c>
      <c r="Q49" s="35" t="s">
        <v>400</v>
      </c>
      <c r="R49" s="35" t="str">
        <f>F4&amp;", "&amp;F9&amp;", "&amp;F11</f>
        <v>Alex Grace, Willoughby Hawkins, .</v>
      </c>
      <c r="S49" s="35">
        <f t="shared" si="6"/>
        <v>0</v>
      </c>
      <c r="T49" s="35" t="s">
        <v>400</v>
      </c>
      <c r="U49" s="35" t="str">
        <f>J4&amp;", "&amp;J9&amp;", "&amp;J11</f>
        <v>Ashley Thornhill, Remy Hollis, .</v>
      </c>
      <c r="V49" s="35">
        <f t="shared" si="7"/>
        <v>0</v>
      </c>
      <c r="X49" s="35"/>
      <c r="Y49" s="35"/>
      <c r="Z49" s="35"/>
      <c r="AA49" s="35"/>
      <c r="AB49" s="35"/>
      <c r="AC49" s="35"/>
      <c r="AD49" s="35"/>
    </row>
    <row r="50" spans="1:30" ht="13.5" thickBot="1" x14ac:dyDescent="0.25">
      <c r="A50" s="18" t="str">
        <f>A49</f>
        <v>Hide</v>
      </c>
      <c r="B50" s="45"/>
      <c r="E50" s="45"/>
      <c r="F50" s="47"/>
      <c r="G50" s="47"/>
      <c r="H50" s="47"/>
      <c r="I50" s="237" t="e">
        <f t="shared" si="0"/>
        <v>#N/A</v>
      </c>
      <c r="J50" s="47"/>
      <c r="K50" s="47"/>
      <c r="L50" s="47"/>
      <c r="M50" s="394" t="e">
        <f t="shared" si="1"/>
        <v>#N/A</v>
      </c>
      <c r="Q50" s="35" t="s">
        <v>401</v>
      </c>
      <c r="R50" s="35" t="str">
        <f>F4&amp;", "&amp;F10&amp;", "&amp;F11</f>
        <v>Alex Grace, ., .</v>
      </c>
      <c r="S50" s="35">
        <f t="shared" si="6"/>
        <v>0</v>
      </c>
      <c r="T50" s="35" t="s">
        <v>401</v>
      </c>
      <c r="U50" s="35" t="str">
        <f>J4&amp;", "&amp;J10&amp;", "&amp;J11</f>
        <v>Ashley Thornhill, ., .</v>
      </c>
      <c r="V50" s="35">
        <f t="shared" si="7"/>
        <v>0</v>
      </c>
      <c r="X50" s="35"/>
      <c r="Y50" s="35"/>
      <c r="Z50" s="35"/>
      <c r="AA50" s="35"/>
      <c r="AB50" s="35"/>
      <c r="AC50" s="35"/>
      <c r="AD50" s="35"/>
    </row>
    <row r="51" spans="1:30" ht="13.5" thickTop="1" x14ac:dyDescent="0.2">
      <c r="A51" s="42" t="str">
        <f>'Ballot Entry'!A42</f>
        <v>Hide</v>
      </c>
      <c r="B51" s="43">
        <f>'Ballot Entry'!B42</f>
        <v>0</v>
      </c>
      <c r="C51" s="43" t="s">
        <v>285</v>
      </c>
      <c r="D51" s="48"/>
      <c r="E51" s="45"/>
      <c r="F51" s="48"/>
      <c r="G51" s="48"/>
      <c r="H51" s="48"/>
      <c r="I51" s="237" t="e">
        <f t="shared" si="0"/>
        <v>#N/A</v>
      </c>
      <c r="J51" s="48"/>
      <c r="K51" s="48"/>
      <c r="L51" s="48"/>
      <c r="M51" s="394" t="e">
        <f t="shared" si="1"/>
        <v>#N/A</v>
      </c>
      <c r="N51" s="35" t="e">
        <f>LARGE(I51:I53,3)&amp;","&amp;LARGE(I51:I53,2)&amp;","&amp;LARGE(I51:I53,1)</f>
        <v>#N/A</v>
      </c>
      <c r="O51" s="35" t="e">
        <f>LARGE(M51:M53,3)&amp;","&amp;LARGE(M51:M53,2)&amp;","&amp;LARGE(M51:M53,1)</f>
        <v>#N/A</v>
      </c>
      <c r="Q51" s="35" t="s">
        <v>180</v>
      </c>
      <c r="R51" s="35" t="str">
        <f>F5&amp;", "&amp;F6&amp;", "&amp;F7</f>
        <v>Harper Villafana, Hunter Cooper, Jameson Clark</v>
      </c>
      <c r="S51" s="35">
        <f t="shared" si="6"/>
        <v>0</v>
      </c>
      <c r="T51" s="35" t="s">
        <v>180</v>
      </c>
      <c r="U51" s="35" t="str">
        <f>J5&amp;", "&amp;J6&amp;", "&amp;J7</f>
        <v>Danny Kosack, Harper Villafana, Hunter Cooper</v>
      </c>
      <c r="V51" s="35">
        <f t="shared" si="7"/>
        <v>0</v>
      </c>
      <c r="X51" s="35"/>
      <c r="Y51" s="35"/>
      <c r="Z51" s="35"/>
      <c r="AA51" s="35"/>
      <c r="AB51" s="35"/>
      <c r="AC51" s="35"/>
      <c r="AD51" s="35"/>
    </row>
    <row r="52" spans="1:30" x14ac:dyDescent="0.2">
      <c r="A52" s="18" t="str">
        <f>A51</f>
        <v>Hide</v>
      </c>
      <c r="B52" s="45"/>
      <c r="C52" s="45"/>
      <c r="D52" s="45"/>
      <c r="E52" s="45"/>
      <c r="F52" s="49"/>
      <c r="G52" s="49"/>
      <c r="H52" s="49"/>
      <c r="I52" s="237" t="e">
        <f t="shared" si="0"/>
        <v>#N/A</v>
      </c>
      <c r="J52" s="49"/>
      <c r="K52" s="49"/>
      <c r="L52" s="49"/>
      <c r="M52" s="394" t="e">
        <f t="shared" si="1"/>
        <v>#N/A</v>
      </c>
      <c r="Q52" s="35" t="s">
        <v>174</v>
      </c>
      <c r="R52" s="35" t="str">
        <f>F5&amp;", "&amp;F6&amp;", "&amp;F8</f>
        <v>Harper Villafana, Hunter Cooper, Remy Hollis</v>
      </c>
      <c r="S52" s="35">
        <f t="shared" si="6"/>
        <v>0</v>
      </c>
      <c r="T52" s="35" t="s">
        <v>174</v>
      </c>
      <c r="U52" s="35" t="str">
        <f>J5&amp;", "&amp;J6&amp;", "&amp;J8</f>
        <v>Danny Kosack, Harper Villafana, Miller McCoy</v>
      </c>
      <c r="V52" s="35">
        <f t="shared" si="7"/>
        <v>0</v>
      </c>
      <c r="X52" s="35"/>
      <c r="Y52" s="35"/>
      <c r="Z52" s="35"/>
      <c r="AA52" s="35"/>
      <c r="AB52" s="35"/>
      <c r="AC52" s="35"/>
      <c r="AD52" s="35"/>
    </row>
    <row r="53" spans="1:30" ht="13.5" thickBot="1" x14ac:dyDescent="0.25">
      <c r="A53" s="18" t="str">
        <f>A52</f>
        <v>Hide</v>
      </c>
      <c r="B53" s="45"/>
      <c r="E53" s="51"/>
      <c r="F53" s="50"/>
      <c r="G53" s="50"/>
      <c r="H53" s="50"/>
      <c r="I53" s="237" t="e">
        <f t="shared" si="0"/>
        <v>#N/A</v>
      </c>
      <c r="J53" s="50"/>
      <c r="K53" s="50"/>
      <c r="L53" s="50"/>
      <c r="M53" s="394" t="e">
        <f t="shared" si="1"/>
        <v>#N/A</v>
      </c>
      <c r="Q53" s="35" t="s">
        <v>186</v>
      </c>
      <c r="R53" s="35" t="str">
        <f>F5&amp;", "&amp;F6&amp;", "&amp;F9</f>
        <v>Harper Villafana, Hunter Cooper, Willoughby Hawkins</v>
      </c>
      <c r="S53" s="35">
        <f t="shared" si="6"/>
        <v>0</v>
      </c>
      <c r="T53" s="35" t="s">
        <v>186</v>
      </c>
      <c r="U53" s="35" t="str">
        <f>J5&amp;", "&amp;J6&amp;", "&amp;J9</f>
        <v>Danny Kosack, Harper Villafana, Remy Hollis</v>
      </c>
      <c r="V53" s="35">
        <f t="shared" si="7"/>
        <v>0</v>
      </c>
      <c r="X53" s="35"/>
      <c r="Y53" s="35"/>
      <c r="Z53" s="35"/>
      <c r="AA53" s="35"/>
      <c r="AB53" s="35"/>
      <c r="AC53" s="35"/>
      <c r="AD53" s="35"/>
    </row>
    <row r="54" spans="1:30" ht="13.5" thickTop="1" x14ac:dyDescent="0.2">
      <c r="A54" s="42" t="str">
        <f>'Ballot Entry'!A45</f>
        <v>Hide</v>
      </c>
      <c r="B54" s="43">
        <f>'Ballot Entry'!B45</f>
        <v>0</v>
      </c>
      <c r="C54" s="43" t="s">
        <v>285</v>
      </c>
      <c r="D54" s="44"/>
      <c r="E54" s="45"/>
      <c r="F54" s="44"/>
      <c r="G54" s="44"/>
      <c r="H54" s="44"/>
      <c r="I54" s="237" t="e">
        <f t="shared" si="0"/>
        <v>#N/A</v>
      </c>
      <c r="J54" s="44"/>
      <c r="K54" s="44"/>
      <c r="L54" s="44"/>
      <c r="M54" s="394" t="e">
        <f t="shared" si="1"/>
        <v>#N/A</v>
      </c>
      <c r="N54" s="35" t="e">
        <f>LARGE(I54:I56,3)&amp;","&amp;LARGE(I54:I56,2)&amp;","&amp;LARGE(I54:I56,1)</f>
        <v>#N/A</v>
      </c>
      <c r="O54" s="35" t="e">
        <f>LARGE(M54:M56,3)&amp;","&amp;LARGE(M54:M56,2)&amp;","&amp;LARGE(M54:M56,1)</f>
        <v>#N/A</v>
      </c>
      <c r="Q54" s="35" t="s">
        <v>260</v>
      </c>
      <c r="R54" s="35" t="str">
        <f>F5&amp;", "&amp;F6&amp;", "&amp;F10</f>
        <v>Harper Villafana, Hunter Cooper, .</v>
      </c>
      <c r="S54" s="35">
        <f t="shared" si="6"/>
        <v>0</v>
      </c>
      <c r="T54" s="35" t="s">
        <v>260</v>
      </c>
      <c r="U54" s="35" t="str">
        <f>J5&amp;", "&amp;J6&amp;", "&amp;J10</f>
        <v>Danny Kosack, Harper Villafana, .</v>
      </c>
      <c r="V54" s="35">
        <f t="shared" si="7"/>
        <v>0</v>
      </c>
      <c r="X54" s="35"/>
      <c r="Y54" s="35"/>
      <c r="Z54" s="35"/>
      <c r="AA54" s="35"/>
      <c r="AB54" s="35"/>
      <c r="AC54" s="35"/>
      <c r="AD54" s="35"/>
    </row>
    <row r="55" spans="1:30" x14ac:dyDescent="0.2">
      <c r="A55" s="18" t="str">
        <f>A54</f>
        <v>Hide</v>
      </c>
      <c r="B55" s="45"/>
      <c r="C55" s="45"/>
      <c r="D55" s="45"/>
      <c r="E55" s="45"/>
      <c r="F55" s="46"/>
      <c r="G55" s="46"/>
      <c r="H55" s="46"/>
      <c r="I55" s="237" t="e">
        <f t="shared" si="0"/>
        <v>#N/A</v>
      </c>
      <c r="J55" s="46"/>
      <c r="K55" s="46"/>
      <c r="L55" s="46"/>
      <c r="M55" s="394" t="e">
        <f t="shared" si="1"/>
        <v>#N/A</v>
      </c>
      <c r="Q55" s="35" t="s">
        <v>261</v>
      </c>
      <c r="R55" s="35" t="str">
        <f>F5&amp;", "&amp;F6&amp;", "&amp;F11</f>
        <v>Harper Villafana, Hunter Cooper, .</v>
      </c>
      <c r="S55" s="35">
        <f t="shared" si="6"/>
        <v>0</v>
      </c>
      <c r="T55" s="35" t="s">
        <v>261</v>
      </c>
      <c r="U55" s="35" t="str">
        <f>J5&amp;", "&amp;J6&amp;", "&amp;J11</f>
        <v>Danny Kosack, Harper Villafana, .</v>
      </c>
      <c r="V55" s="35">
        <f t="shared" si="7"/>
        <v>0</v>
      </c>
      <c r="X55" s="35"/>
      <c r="Y55" s="35"/>
      <c r="Z55" s="35"/>
      <c r="AA55" s="35"/>
      <c r="AB55" s="35"/>
      <c r="AC55" s="35"/>
      <c r="AD55" s="35"/>
    </row>
    <row r="56" spans="1:30" ht="13.5" thickBot="1" x14ac:dyDescent="0.25">
      <c r="A56" s="18" t="str">
        <f>A55</f>
        <v>Hide</v>
      </c>
      <c r="B56" s="45"/>
      <c r="E56" s="45"/>
      <c r="F56" s="47"/>
      <c r="G56" s="47"/>
      <c r="H56" s="47"/>
      <c r="I56" s="237" t="e">
        <f t="shared" si="0"/>
        <v>#N/A</v>
      </c>
      <c r="J56" s="47"/>
      <c r="K56" s="47"/>
      <c r="L56" s="47"/>
      <c r="M56" s="394" t="e">
        <f t="shared" si="1"/>
        <v>#N/A</v>
      </c>
      <c r="Q56" s="35" t="s">
        <v>402</v>
      </c>
      <c r="R56" s="35" t="str">
        <f>F5&amp;", "&amp;F7&amp;", "&amp;F8</f>
        <v>Harper Villafana, Jameson Clark, Remy Hollis</v>
      </c>
      <c r="S56" s="35">
        <f t="shared" si="6"/>
        <v>0</v>
      </c>
      <c r="T56" s="35" t="s">
        <v>402</v>
      </c>
      <c r="U56" s="35" t="str">
        <f>J5&amp;", "&amp;J7&amp;", "&amp;J8</f>
        <v>Danny Kosack, Hunter Cooper, Miller McCoy</v>
      </c>
      <c r="V56" s="35">
        <f t="shared" si="7"/>
        <v>0</v>
      </c>
      <c r="X56" s="35"/>
      <c r="Y56" s="35"/>
      <c r="Z56" s="35"/>
      <c r="AA56" s="35"/>
      <c r="AB56" s="35"/>
      <c r="AC56" s="35"/>
      <c r="AD56" s="35"/>
    </row>
    <row r="57" spans="1:30" ht="13.5" thickTop="1" x14ac:dyDescent="0.2">
      <c r="A57" s="42" t="str">
        <f>'Ballot Entry'!A48</f>
        <v>Hide</v>
      </c>
      <c r="B57" s="43">
        <f>'Ballot Entry'!B48</f>
        <v>0</v>
      </c>
      <c r="C57" s="43" t="s">
        <v>285</v>
      </c>
      <c r="D57" s="48"/>
      <c r="E57" s="45"/>
      <c r="F57" s="48"/>
      <c r="G57" s="48"/>
      <c r="H57" s="48"/>
      <c r="I57" s="237" t="e">
        <f t="shared" si="0"/>
        <v>#N/A</v>
      </c>
      <c r="J57" s="48"/>
      <c r="K57" s="48"/>
      <c r="L57" s="48"/>
      <c r="M57" s="394" t="e">
        <f t="shared" si="1"/>
        <v>#N/A</v>
      </c>
      <c r="N57" s="35" t="e">
        <f>LARGE(I57:I59,3)&amp;","&amp;LARGE(I57:I59,2)&amp;","&amp;LARGE(I57:I59,1)</f>
        <v>#N/A</v>
      </c>
      <c r="O57" s="35" t="e">
        <f>LARGE(M57:M59,3)&amp;","&amp;LARGE(M57:M59,2)&amp;","&amp;LARGE(M57:M59,1)</f>
        <v>#N/A</v>
      </c>
      <c r="Q57" s="35" t="s">
        <v>403</v>
      </c>
      <c r="R57" s="35" t="str">
        <f>F5&amp;", "&amp;F7&amp;", "&amp;F9</f>
        <v>Harper Villafana, Jameson Clark, Willoughby Hawkins</v>
      </c>
      <c r="S57" s="35">
        <f t="shared" si="6"/>
        <v>0</v>
      </c>
      <c r="T57" s="35" t="s">
        <v>403</v>
      </c>
      <c r="U57" s="35" t="str">
        <f>J5&amp;", "&amp;J7&amp;", "&amp;J9</f>
        <v>Danny Kosack, Hunter Cooper, Remy Hollis</v>
      </c>
      <c r="V57" s="35">
        <f t="shared" si="7"/>
        <v>0</v>
      </c>
      <c r="X57" s="35"/>
      <c r="Y57" s="35"/>
      <c r="Z57" s="35"/>
      <c r="AA57" s="35"/>
      <c r="AB57" s="35"/>
      <c r="AC57" s="35"/>
      <c r="AD57" s="35"/>
    </row>
    <row r="58" spans="1:30" x14ac:dyDescent="0.2">
      <c r="A58" s="18" t="str">
        <f>A57</f>
        <v>Hide</v>
      </c>
      <c r="B58" s="45"/>
      <c r="C58" s="45"/>
      <c r="D58" s="45"/>
      <c r="E58" s="45"/>
      <c r="F58" s="49"/>
      <c r="G58" s="49"/>
      <c r="H58" s="49"/>
      <c r="I58" s="237" t="e">
        <f t="shared" si="0"/>
        <v>#N/A</v>
      </c>
      <c r="J58" s="49"/>
      <c r="K58" s="49"/>
      <c r="L58" s="49"/>
      <c r="M58" s="394" t="e">
        <f t="shared" si="1"/>
        <v>#N/A</v>
      </c>
      <c r="Q58" s="35" t="s">
        <v>404</v>
      </c>
      <c r="R58" s="35" t="str">
        <f>F5&amp;", "&amp;F7&amp;", "&amp;F10</f>
        <v>Harper Villafana, Jameson Clark, .</v>
      </c>
      <c r="S58" s="35">
        <f t="shared" si="6"/>
        <v>0</v>
      </c>
      <c r="T58" s="35" t="s">
        <v>404</v>
      </c>
      <c r="U58" s="35" t="str">
        <f>J5&amp;", "&amp;J7&amp;", "&amp;J10</f>
        <v>Danny Kosack, Hunter Cooper, .</v>
      </c>
      <c r="V58" s="35">
        <f t="shared" si="7"/>
        <v>0</v>
      </c>
      <c r="X58" s="35"/>
      <c r="Y58" s="35"/>
      <c r="Z58" s="35"/>
      <c r="AA58" s="35"/>
      <c r="AB58" s="35"/>
      <c r="AC58" s="35"/>
      <c r="AD58" s="35"/>
    </row>
    <row r="59" spans="1:30" ht="13.5" thickBot="1" x14ac:dyDescent="0.25">
      <c r="A59" s="18" t="str">
        <f>A58</f>
        <v>Hide</v>
      </c>
      <c r="B59" s="45"/>
      <c r="E59" s="51"/>
      <c r="F59" s="50"/>
      <c r="G59" s="50"/>
      <c r="H59" s="50"/>
      <c r="I59" s="237" t="e">
        <f t="shared" si="0"/>
        <v>#N/A</v>
      </c>
      <c r="J59" s="50"/>
      <c r="K59" s="50"/>
      <c r="L59" s="50"/>
      <c r="M59" s="394" t="e">
        <f t="shared" si="1"/>
        <v>#N/A</v>
      </c>
      <c r="Q59" s="35" t="s">
        <v>405</v>
      </c>
      <c r="R59" s="35" t="str">
        <f>F5&amp;", "&amp;F7&amp;", "&amp;F11</f>
        <v>Harper Villafana, Jameson Clark, .</v>
      </c>
      <c r="S59" s="35">
        <f t="shared" si="6"/>
        <v>0</v>
      </c>
      <c r="T59" s="35" t="s">
        <v>405</v>
      </c>
      <c r="U59" s="35" t="str">
        <f>J5&amp;", "&amp;J7&amp;", "&amp;J11</f>
        <v>Danny Kosack, Hunter Cooper, .</v>
      </c>
      <c r="V59" s="35">
        <f t="shared" si="7"/>
        <v>0</v>
      </c>
      <c r="X59" s="35"/>
      <c r="Y59" s="35"/>
      <c r="Z59" s="35"/>
      <c r="AA59" s="35"/>
      <c r="AB59" s="35"/>
      <c r="AC59" s="35"/>
      <c r="AD59" s="35"/>
    </row>
    <row r="60" spans="1:30" ht="13.5" thickTop="1" x14ac:dyDescent="0.2">
      <c r="A60" s="42" t="str">
        <f>'Ballot Entry'!A51</f>
        <v>Hide</v>
      </c>
      <c r="B60" s="43">
        <f>'Ballot Entry'!B51</f>
        <v>0</v>
      </c>
      <c r="C60" s="43" t="s">
        <v>285</v>
      </c>
      <c r="D60" s="44"/>
      <c r="E60" s="45"/>
      <c r="F60" s="44"/>
      <c r="G60" s="44"/>
      <c r="H60" s="44"/>
      <c r="I60" s="237" t="e">
        <f t="shared" si="0"/>
        <v>#N/A</v>
      </c>
      <c r="J60" s="44"/>
      <c r="K60" s="44"/>
      <c r="L60" s="44"/>
      <c r="M60" s="394" t="e">
        <f t="shared" si="1"/>
        <v>#N/A</v>
      </c>
      <c r="N60" s="35" t="e">
        <f>LARGE(I60:I62,3)&amp;","&amp;LARGE(I60:I62,2)&amp;","&amp;LARGE(I60:I62,1)</f>
        <v>#N/A</v>
      </c>
      <c r="O60" s="35" t="e">
        <f>LARGE(M60:M62,3)&amp;","&amp;LARGE(M60:M62,2)&amp;","&amp;LARGE(M60:M62,1)</f>
        <v>#N/A</v>
      </c>
      <c r="Q60" s="35" t="s">
        <v>406</v>
      </c>
      <c r="R60" s="35" t="str">
        <f>F5&amp;", "&amp;F8&amp;", "&amp;F9</f>
        <v>Harper Villafana, Remy Hollis, Willoughby Hawkins</v>
      </c>
      <c r="S60" s="35">
        <f t="shared" si="6"/>
        <v>0</v>
      </c>
      <c r="T60" s="35" t="s">
        <v>406</v>
      </c>
      <c r="U60" s="35" t="str">
        <f>J5&amp;", "&amp;J8&amp;", "&amp;J9</f>
        <v>Danny Kosack, Miller McCoy, Remy Hollis</v>
      </c>
      <c r="V60" s="35">
        <f t="shared" si="7"/>
        <v>0</v>
      </c>
      <c r="X60" s="35"/>
      <c r="Y60" s="35"/>
      <c r="Z60" s="35"/>
      <c r="AA60" s="35"/>
      <c r="AB60" s="35"/>
      <c r="AC60" s="35"/>
      <c r="AD60" s="35"/>
    </row>
    <row r="61" spans="1:30" x14ac:dyDescent="0.2">
      <c r="A61" s="18" t="str">
        <f>A60</f>
        <v>Hide</v>
      </c>
      <c r="B61" s="45"/>
      <c r="C61" s="45"/>
      <c r="D61" s="45"/>
      <c r="E61" s="45"/>
      <c r="F61" s="46"/>
      <c r="G61" s="46"/>
      <c r="H61" s="46"/>
      <c r="I61" s="237" t="e">
        <f t="shared" si="0"/>
        <v>#N/A</v>
      </c>
      <c r="J61" s="46"/>
      <c r="K61" s="46"/>
      <c r="L61" s="46"/>
      <c r="M61" s="394" t="e">
        <f t="shared" si="1"/>
        <v>#N/A</v>
      </c>
      <c r="Q61" s="35" t="s">
        <v>407</v>
      </c>
      <c r="R61" s="35" t="str">
        <f>F5&amp;", "&amp;F8&amp;", "&amp;F10</f>
        <v>Harper Villafana, Remy Hollis, .</v>
      </c>
      <c r="S61" s="35">
        <f t="shared" si="6"/>
        <v>0</v>
      </c>
      <c r="T61" s="35" t="s">
        <v>407</v>
      </c>
      <c r="U61" s="35" t="str">
        <f>J5&amp;", "&amp;J8&amp;", "&amp;J10</f>
        <v>Danny Kosack, Miller McCoy, .</v>
      </c>
      <c r="V61" s="35">
        <f t="shared" si="7"/>
        <v>0</v>
      </c>
      <c r="X61" s="35"/>
      <c r="Y61" s="35"/>
      <c r="Z61" s="35"/>
      <c r="AA61" s="35"/>
      <c r="AB61" s="35"/>
      <c r="AC61" s="35"/>
      <c r="AD61" s="35"/>
    </row>
    <row r="62" spans="1:30" ht="13.5" thickBot="1" x14ac:dyDescent="0.25">
      <c r="A62" s="18" t="str">
        <f>A61</f>
        <v>Hide</v>
      </c>
      <c r="B62" s="45"/>
      <c r="E62" s="45"/>
      <c r="F62" s="47"/>
      <c r="G62" s="47"/>
      <c r="H62" s="47"/>
      <c r="I62" s="237" t="e">
        <f t="shared" si="0"/>
        <v>#N/A</v>
      </c>
      <c r="J62" s="47"/>
      <c r="K62" s="47"/>
      <c r="L62" s="47"/>
      <c r="M62" s="394" t="e">
        <f t="shared" si="1"/>
        <v>#N/A</v>
      </c>
      <c r="Q62" s="35" t="s">
        <v>408</v>
      </c>
      <c r="R62" s="35" t="str">
        <f>F5&amp;", "&amp;F8&amp;", "&amp;F11</f>
        <v>Harper Villafana, Remy Hollis, .</v>
      </c>
      <c r="S62" s="35">
        <f t="shared" si="6"/>
        <v>0</v>
      </c>
      <c r="T62" s="35" t="s">
        <v>408</v>
      </c>
      <c r="U62" s="35" t="str">
        <f>J5&amp;", "&amp;J8&amp;", "&amp;J11</f>
        <v>Danny Kosack, Miller McCoy, .</v>
      </c>
      <c r="V62" s="35">
        <f t="shared" si="7"/>
        <v>0</v>
      </c>
      <c r="X62" s="35"/>
      <c r="Y62" s="35"/>
      <c r="Z62" s="35"/>
      <c r="AA62" s="35"/>
      <c r="AB62" s="35"/>
      <c r="AC62" s="35"/>
      <c r="AD62" s="35"/>
    </row>
    <row r="63" spans="1:30" ht="13.5" thickTop="1" x14ac:dyDescent="0.2">
      <c r="A63" s="42" t="str">
        <f>'Ballot Entry'!A54</f>
        <v>Hide</v>
      </c>
      <c r="B63" s="43">
        <f>'Ballot Entry'!B54</f>
        <v>0</v>
      </c>
      <c r="C63" s="43" t="s">
        <v>285</v>
      </c>
      <c r="D63" s="48"/>
      <c r="E63" s="45"/>
      <c r="F63" s="48"/>
      <c r="G63" s="48"/>
      <c r="H63" s="48"/>
      <c r="I63" s="237" t="e">
        <f t="shared" si="0"/>
        <v>#N/A</v>
      </c>
      <c r="J63" s="48"/>
      <c r="K63" s="48"/>
      <c r="L63" s="48"/>
      <c r="M63" s="394" t="e">
        <f t="shared" si="1"/>
        <v>#N/A</v>
      </c>
      <c r="N63" s="35" t="e">
        <f>LARGE(I63:I65,3)&amp;","&amp;LARGE(I63:I65,2)&amp;","&amp;LARGE(I63:I65,1)</f>
        <v>#N/A</v>
      </c>
      <c r="O63" s="35" t="e">
        <f>LARGE(M63:M65,3)&amp;","&amp;LARGE(M63:M65,2)&amp;","&amp;LARGE(M63:M65,1)</f>
        <v>#N/A</v>
      </c>
      <c r="Q63" s="35" t="s">
        <v>409</v>
      </c>
      <c r="R63" s="35" t="str">
        <f>F5&amp;", "&amp;F9&amp;", "&amp;F10</f>
        <v>Harper Villafana, Willoughby Hawkins, .</v>
      </c>
      <c r="S63" s="35">
        <f t="shared" si="6"/>
        <v>0</v>
      </c>
      <c r="T63" s="35" t="s">
        <v>409</v>
      </c>
      <c r="U63" s="35" t="str">
        <f>J5&amp;", "&amp;J9&amp;", "&amp;J10</f>
        <v>Danny Kosack, Remy Hollis, .</v>
      </c>
      <c r="V63" s="35">
        <f t="shared" si="7"/>
        <v>0</v>
      </c>
      <c r="X63" s="35"/>
      <c r="Y63" s="35"/>
      <c r="Z63" s="35"/>
      <c r="AA63" s="35"/>
      <c r="AB63" s="35"/>
      <c r="AC63" s="35"/>
      <c r="AD63" s="35"/>
    </row>
    <row r="64" spans="1:30" x14ac:dyDescent="0.2">
      <c r="A64" s="18" t="str">
        <f>A63</f>
        <v>Hide</v>
      </c>
      <c r="B64" s="45"/>
      <c r="C64" s="45"/>
      <c r="D64" s="45"/>
      <c r="E64" s="45"/>
      <c r="F64" s="49"/>
      <c r="G64" s="49"/>
      <c r="H64" s="49"/>
      <c r="I64" s="237" t="e">
        <f t="shared" si="0"/>
        <v>#N/A</v>
      </c>
      <c r="J64" s="49"/>
      <c r="K64" s="49"/>
      <c r="L64" s="49"/>
      <c r="M64" s="394" t="e">
        <f t="shared" si="1"/>
        <v>#N/A</v>
      </c>
      <c r="Q64" s="35" t="s">
        <v>410</v>
      </c>
      <c r="R64" s="35" t="str">
        <f>F5&amp;", "&amp;F9&amp;", "&amp;F11</f>
        <v>Harper Villafana, Willoughby Hawkins, .</v>
      </c>
      <c r="S64" s="35">
        <f t="shared" si="6"/>
        <v>0</v>
      </c>
      <c r="T64" s="35" t="s">
        <v>410</v>
      </c>
      <c r="U64" s="35" t="str">
        <f>J5&amp;", "&amp;J9&amp;", "&amp;J11</f>
        <v>Danny Kosack, Remy Hollis, .</v>
      </c>
      <c r="V64" s="35">
        <f t="shared" si="7"/>
        <v>0</v>
      </c>
      <c r="X64" s="35"/>
      <c r="Y64" s="35"/>
      <c r="Z64" s="35"/>
      <c r="AA64" s="35"/>
      <c r="AB64" s="35"/>
      <c r="AC64" s="35"/>
      <c r="AD64" s="35"/>
    </row>
    <row r="65" spans="1:30" ht="13.5" thickBot="1" x14ac:dyDescent="0.25">
      <c r="A65" s="18" t="str">
        <f>A64</f>
        <v>Hide</v>
      </c>
      <c r="B65" s="45"/>
      <c r="E65" s="51"/>
      <c r="F65" s="50"/>
      <c r="G65" s="50"/>
      <c r="H65" s="50"/>
      <c r="I65" s="237" t="e">
        <f t="shared" si="0"/>
        <v>#N/A</v>
      </c>
      <c r="J65" s="50"/>
      <c r="K65" s="50"/>
      <c r="L65" s="50"/>
      <c r="M65" s="394" t="e">
        <f t="shared" si="1"/>
        <v>#N/A</v>
      </c>
      <c r="Q65" s="35" t="s">
        <v>411</v>
      </c>
      <c r="R65" s="35" t="str">
        <f>F5&amp;", "&amp;F10&amp;", "&amp;F11</f>
        <v>Harper Villafana, ., .</v>
      </c>
      <c r="S65" s="35">
        <f t="shared" si="6"/>
        <v>0</v>
      </c>
      <c r="T65" s="35" t="s">
        <v>411</v>
      </c>
      <c r="U65" s="35" t="str">
        <f>J5&amp;", "&amp;J10&amp;", "&amp;J11</f>
        <v>Danny Kosack, ., .</v>
      </c>
      <c r="V65" s="35">
        <f t="shared" si="7"/>
        <v>0</v>
      </c>
      <c r="X65" s="35"/>
      <c r="Y65" s="35"/>
      <c r="Z65" s="35"/>
      <c r="AA65" s="35"/>
      <c r="AB65" s="35"/>
      <c r="AC65" s="35"/>
      <c r="AD65" s="35"/>
    </row>
    <row r="66" spans="1:30" ht="13.5" thickTop="1" x14ac:dyDescent="0.2">
      <c r="A66" s="42" t="str">
        <f>'Ballot Entry'!A57</f>
        <v>Hide</v>
      </c>
      <c r="B66" s="43">
        <f>'Ballot Entry'!B57</f>
        <v>0</v>
      </c>
      <c r="C66" s="43" t="s">
        <v>285</v>
      </c>
      <c r="D66" s="44"/>
      <c r="E66" s="45"/>
      <c r="F66" s="44"/>
      <c r="G66" s="44"/>
      <c r="H66" s="44"/>
      <c r="I66" s="237" t="e">
        <f t="shared" si="0"/>
        <v>#N/A</v>
      </c>
      <c r="J66" s="44"/>
      <c r="K66" s="44"/>
      <c r="L66" s="44"/>
      <c r="M66" s="394" t="e">
        <f t="shared" si="1"/>
        <v>#N/A</v>
      </c>
      <c r="N66" s="35" t="e">
        <f>LARGE(I66:I68,3)&amp;","&amp;LARGE(I66:I68,2)&amp;","&amp;LARGE(I66:I68,1)</f>
        <v>#N/A</v>
      </c>
      <c r="O66" s="35" t="e">
        <f>LARGE(M66:M68,3)&amp;","&amp;LARGE(M66:M68,2)&amp;","&amp;LARGE(M66:M68,1)</f>
        <v>#N/A</v>
      </c>
      <c r="Q66" s="35" t="s">
        <v>181</v>
      </c>
      <c r="R66" s="35" t="str">
        <f>F6&amp;", "&amp;F7&amp;", "&amp;F8</f>
        <v>Hunter Cooper, Jameson Clark, Remy Hollis</v>
      </c>
      <c r="S66" s="35">
        <f t="shared" si="6"/>
        <v>0</v>
      </c>
      <c r="T66" s="35" t="s">
        <v>181</v>
      </c>
      <c r="U66" s="35" t="str">
        <f>J6&amp;", "&amp;J7&amp;", "&amp;J8</f>
        <v>Harper Villafana, Hunter Cooper, Miller McCoy</v>
      </c>
      <c r="V66" s="35">
        <f t="shared" si="7"/>
        <v>0</v>
      </c>
      <c r="X66" s="35"/>
      <c r="Y66" s="35"/>
      <c r="Z66" s="35"/>
      <c r="AA66" s="35"/>
      <c r="AB66" s="35"/>
      <c r="AC66" s="35"/>
      <c r="AD66" s="35"/>
    </row>
    <row r="67" spans="1:30" x14ac:dyDescent="0.2">
      <c r="A67" s="18" t="str">
        <f>A66</f>
        <v>Hide</v>
      </c>
      <c r="B67" s="45"/>
      <c r="C67" s="45"/>
      <c r="D67" s="45"/>
      <c r="E67" s="45"/>
      <c r="F67" s="46"/>
      <c r="G67" s="46"/>
      <c r="H67" s="46"/>
      <c r="I67" s="237" t="e">
        <f t="shared" si="0"/>
        <v>#N/A</v>
      </c>
      <c r="J67" s="46"/>
      <c r="K67" s="46"/>
      <c r="L67" s="46"/>
      <c r="M67" s="394" t="e">
        <f t="shared" si="1"/>
        <v>#N/A</v>
      </c>
      <c r="Q67" s="35" t="s">
        <v>182</v>
      </c>
      <c r="R67" s="35" t="str">
        <f>F6&amp;", "&amp;F7&amp;", "&amp;F9</f>
        <v>Hunter Cooper, Jameson Clark, Willoughby Hawkins</v>
      </c>
      <c r="S67" s="35">
        <f t="shared" si="6"/>
        <v>0</v>
      </c>
      <c r="T67" s="35" t="s">
        <v>182</v>
      </c>
      <c r="U67" s="35" t="str">
        <f>J6&amp;", "&amp;J7&amp;", "&amp;J9</f>
        <v>Harper Villafana, Hunter Cooper, Remy Hollis</v>
      </c>
      <c r="V67" s="35">
        <f t="shared" si="7"/>
        <v>0</v>
      </c>
      <c r="X67" s="35"/>
      <c r="Y67" s="35"/>
      <c r="Z67" s="35"/>
      <c r="AA67" s="35"/>
      <c r="AB67" s="35"/>
      <c r="AC67" s="35"/>
      <c r="AD67" s="35"/>
    </row>
    <row r="68" spans="1:30" ht="13.5" thickBot="1" x14ac:dyDescent="0.25">
      <c r="A68" s="18" t="str">
        <f>A67</f>
        <v>Hide</v>
      </c>
      <c r="B68" s="45"/>
      <c r="E68" s="45"/>
      <c r="F68" s="47"/>
      <c r="G68" s="47"/>
      <c r="H68" s="47"/>
      <c r="I68" s="237" t="e">
        <f t="shared" si="0"/>
        <v>#N/A</v>
      </c>
      <c r="J68" s="47"/>
      <c r="K68" s="47"/>
      <c r="L68" s="47"/>
      <c r="M68" s="394" t="e">
        <f t="shared" si="1"/>
        <v>#N/A</v>
      </c>
      <c r="Q68" s="35" t="s">
        <v>262</v>
      </c>
      <c r="R68" s="35" t="str">
        <f>F6&amp;", "&amp;F7&amp;", "&amp;F10</f>
        <v>Hunter Cooper, Jameson Clark, .</v>
      </c>
      <c r="S68" s="35">
        <f t="shared" si="6"/>
        <v>0</v>
      </c>
      <c r="T68" s="35" t="s">
        <v>262</v>
      </c>
      <c r="U68" s="35" t="str">
        <f>J6&amp;", "&amp;J7&amp;", "&amp;J10</f>
        <v>Harper Villafana, Hunter Cooper, .</v>
      </c>
      <c r="V68" s="35">
        <f t="shared" si="7"/>
        <v>0</v>
      </c>
      <c r="X68" s="35"/>
      <c r="Y68" s="35"/>
      <c r="Z68" s="35"/>
      <c r="AA68" s="35"/>
      <c r="AB68" s="35"/>
      <c r="AC68" s="35"/>
      <c r="AD68" s="35"/>
    </row>
    <row r="69" spans="1:30" ht="13.5" thickTop="1" x14ac:dyDescent="0.2">
      <c r="A69" s="42" t="str">
        <f>'Ballot Entry'!A60</f>
        <v>Hide</v>
      </c>
      <c r="B69" s="43">
        <f>'Ballot Entry'!B60</f>
        <v>0</v>
      </c>
      <c r="C69" s="43" t="s">
        <v>285</v>
      </c>
      <c r="D69" s="48"/>
      <c r="E69" s="45"/>
      <c r="F69" s="48"/>
      <c r="G69" s="48"/>
      <c r="H69" s="48"/>
      <c r="I69" s="237" t="e">
        <f t="shared" si="0"/>
        <v>#N/A</v>
      </c>
      <c r="J69" s="48"/>
      <c r="K69" s="48"/>
      <c r="L69" s="48"/>
      <c r="M69" s="394" t="e">
        <f>VLOOKUP(J69,DLookup,4,)</f>
        <v>#N/A</v>
      </c>
      <c r="N69" s="35" t="e">
        <f>LARGE(I69:I71,3)&amp;","&amp;LARGE(I69:I71,2)&amp;","&amp;LARGE(I69:I71,1)</f>
        <v>#N/A</v>
      </c>
      <c r="O69" s="35" t="e">
        <f>LARGE(M69:M71,3)&amp;","&amp;LARGE(M69:M71,2)&amp;","&amp;LARGE(M69:M71,1)</f>
        <v>#N/A</v>
      </c>
      <c r="Q69" s="35" t="s">
        <v>263</v>
      </c>
      <c r="R69" s="35" t="str">
        <f>F6&amp;", "&amp;F7&amp;", "&amp;F11</f>
        <v>Hunter Cooper, Jameson Clark, .</v>
      </c>
      <c r="S69" s="35">
        <f t="shared" si="6"/>
        <v>0</v>
      </c>
      <c r="T69" s="35" t="s">
        <v>263</v>
      </c>
      <c r="U69" s="35" t="str">
        <f>J6&amp;", "&amp;J7&amp;", "&amp;J11</f>
        <v>Harper Villafana, Hunter Cooper, .</v>
      </c>
      <c r="V69" s="35">
        <f t="shared" si="7"/>
        <v>0</v>
      </c>
      <c r="X69" s="35"/>
      <c r="Y69" s="35"/>
      <c r="Z69" s="35"/>
      <c r="AA69" s="35"/>
      <c r="AB69" s="35"/>
      <c r="AC69" s="35"/>
      <c r="AD69" s="35"/>
    </row>
    <row r="70" spans="1:30" x14ac:dyDescent="0.2">
      <c r="A70" s="18" t="str">
        <f>A69</f>
        <v>Hide</v>
      </c>
      <c r="B70" s="45"/>
      <c r="C70" s="45"/>
      <c r="D70" s="45"/>
      <c r="E70" s="45"/>
      <c r="F70" s="49"/>
      <c r="G70" s="49"/>
      <c r="H70" s="49"/>
      <c r="I70" s="237" t="e">
        <f t="shared" si="0"/>
        <v>#N/A</v>
      </c>
      <c r="J70" s="49"/>
      <c r="K70" s="49"/>
      <c r="L70" s="49"/>
      <c r="M70" s="394" t="e">
        <f t="shared" si="1"/>
        <v>#N/A</v>
      </c>
      <c r="Q70" s="35" t="s">
        <v>412</v>
      </c>
      <c r="R70" s="35" t="str">
        <f>F6&amp;", "&amp;F8&amp;", "&amp;F9</f>
        <v>Hunter Cooper, Remy Hollis, Willoughby Hawkins</v>
      </c>
      <c r="S70" s="35">
        <f t="shared" si="6"/>
        <v>0</v>
      </c>
      <c r="T70" s="35" t="s">
        <v>412</v>
      </c>
      <c r="U70" s="35" t="str">
        <f>J6&amp;", "&amp;J8&amp;", "&amp;J9</f>
        <v>Harper Villafana, Miller McCoy, Remy Hollis</v>
      </c>
      <c r="V70" s="35">
        <f t="shared" si="7"/>
        <v>0</v>
      </c>
      <c r="X70" s="35"/>
      <c r="Y70" s="35"/>
      <c r="Z70" s="35"/>
      <c r="AA70" s="35"/>
      <c r="AB70" s="35"/>
      <c r="AC70" s="35"/>
      <c r="AD70" s="35"/>
    </row>
    <row r="71" spans="1:30" ht="13.5" thickBot="1" x14ac:dyDescent="0.25">
      <c r="A71" s="18" t="str">
        <f>A70</f>
        <v>Hide</v>
      </c>
      <c r="B71" s="45"/>
      <c r="E71" s="51"/>
      <c r="F71" s="50"/>
      <c r="G71" s="50"/>
      <c r="H71" s="50"/>
      <c r="I71" s="237" t="e">
        <f t="shared" si="0"/>
        <v>#N/A</v>
      </c>
      <c r="J71" s="50"/>
      <c r="K71" s="50"/>
      <c r="L71" s="50"/>
      <c r="M71" s="394" t="e">
        <f t="shared" si="1"/>
        <v>#N/A</v>
      </c>
      <c r="Q71" s="35" t="s">
        <v>413</v>
      </c>
      <c r="R71" s="35" t="str">
        <f>F6&amp;", "&amp;F8&amp;", "&amp;F10</f>
        <v>Hunter Cooper, Remy Hollis, .</v>
      </c>
      <c r="S71" s="35">
        <f t="shared" si="6"/>
        <v>0</v>
      </c>
      <c r="T71" s="35" t="s">
        <v>413</v>
      </c>
      <c r="U71" s="35" t="str">
        <f>J6&amp;", "&amp;J8&amp;", "&amp;J10</f>
        <v>Harper Villafana, Miller McCoy, .</v>
      </c>
      <c r="V71" s="35">
        <f t="shared" si="7"/>
        <v>0</v>
      </c>
      <c r="X71" s="35"/>
      <c r="Y71" s="35"/>
      <c r="Z71" s="35"/>
      <c r="AA71" s="35"/>
      <c r="AB71" s="35"/>
      <c r="AC71" s="35"/>
      <c r="AD71" s="35"/>
    </row>
    <row r="72" spans="1:30" ht="13.5" thickTop="1" x14ac:dyDescent="0.2">
      <c r="A72" s="42" t="str">
        <f>'Ballot Entry'!A63</f>
        <v>Hide</v>
      </c>
      <c r="B72" s="43">
        <f>'Ballot Entry'!B63</f>
        <v>0</v>
      </c>
      <c r="C72" s="43" t="s">
        <v>285</v>
      </c>
      <c r="D72" s="44"/>
      <c r="E72" s="45"/>
      <c r="F72" s="44"/>
      <c r="G72" s="44"/>
      <c r="H72" s="44"/>
      <c r="I72" s="237" t="e">
        <f t="shared" si="0"/>
        <v>#N/A</v>
      </c>
      <c r="J72" s="44"/>
      <c r="K72" s="44"/>
      <c r="L72" s="44"/>
      <c r="M72" s="394" t="e">
        <f t="shared" ref="M72:M116" si="8">VLOOKUP(J72,DLookup,4,)</f>
        <v>#N/A</v>
      </c>
      <c r="N72" s="35" t="e">
        <f t="shared" ref="N72" si="9">LARGE(I72:I74,3)&amp;","&amp;LARGE(I72:I74,2)&amp;","&amp;LARGE(I72:I74,1)</f>
        <v>#N/A</v>
      </c>
      <c r="O72" s="35" t="e">
        <f t="shared" ref="O72" si="10">LARGE(M72:M74,3)&amp;","&amp;LARGE(M72:M74,2)&amp;","&amp;LARGE(M72:M74,1)</f>
        <v>#N/A</v>
      </c>
      <c r="Q72" s="35" t="s">
        <v>414</v>
      </c>
      <c r="R72" s="35" t="str">
        <f>F6&amp;", "&amp;F8&amp;", "&amp;F11</f>
        <v>Hunter Cooper, Remy Hollis, .</v>
      </c>
      <c r="S72" s="35">
        <f t="shared" si="6"/>
        <v>0</v>
      </c>
      <c r="T72" s="35" t="s">
        <v>414</v>
      </c>
      <c r="U72" s="35" t="str">
        <f>J6&amp;", "&amp;J8&amp;", "&amp;J11</f>
        <v>Harper Villafana, Miller McCoy, .</v>
      </c>
      <c r="V72" s="35">
        <f t="shared" si="7"/>
        <v>0</v>
      </c>
      <c r="X72" s="35"/>
      <c r="Y72" s="35"/>
      <c r="Z72" s="35"/>
      <c r="AA72" s="35"/>
      <c r="AB72" s="35"/>
      <c r="AC72" s="35"/>
      <c r="AD72" s="35"/>
    </row>
    <row r="73" spans="1:30" x14ac:dyDescent="0.2">
      <c r="A73" s="18" t="str">
        <f t="shared" ref="A73:A74" si="11">A72</f>
        <v>Hide</v>
      </c>
      <c r="B73" s="45"/>
      <c r="C73" s="45"/>
      <c r="D73" s="45"/>
      <c r="E73" s="45"/>
      <c r="F73" s="46"/>
      <c r="G73" s="46"/>
      <c r="H73" s="46"/>
      <c r="I73" s="237" t="e">
        <f t="shared" si="0"/>
        <v>#N/A</v>
      </c>
      <c r="J73" s="46"/>
      <c r="K73" s="46"/>
      <c r="L73" s="46"/>
      <c r="M73" s="394" t="e">
        <f t="shared" si="8"/>
        <v>#N/A</v>
      </c>
      <c r="Q73" s="35" t="s">
        <v>415</v>
      </c>
      <c r="R73" s="35" t="str">
        <f>F6&amp;", "&amp;F9&amp;", "&amp;F10</f>
        <v>Hunter Cooper, Willoughby Hawkins, .</v>
      </c>
      <c r="S73" s="35">
        <f t="shared" si="6"/>
        <v>0</v>
      </c>
      <c r="T73" s="35" t="s">
        <v>415</v>
      </c>
      <c r="U73" s="35" t="str">
        <f>J6&amp;", "&amp;J9&amp;", "&amp;J10</f>
        <v>Harper Villafana, Remy Hollis, .</v>
      </c>
      <c r="V73" s="35">
        <f t="shared" si="7"/>
        <v>0</v>
      </c>
      <c r="X73" s="35"/>
      <c r="Y73" s="35"/>
      <c r="Z73" s="35"/>
      <c r="AA73" s="35"/>
      <c r="AB73" s="35"/>
      <c r="AC73" s="35"/>
      <c r="AD73" s="35"/>
    </row>
    <row r="74" spans="1:30" ht="13.5" thickBot="1" x14ac:dyDescent="0.25">
      <c r="A74" s="18" t="str">
        <f t="shared" si="11"/>
        <v>Hide</v>
      </c>
      <c r="B74" s="45"/>
      <c r="E74" s="45"/>
      <c r="F74" s="47"/>
      <c r="G74" s="47"/>
      <c r="H74" s="47"/>
      <c r="I74" s="237" t="e">
        <f t="shared" si="0"/>
        <v>#N/A</v>
      </c>
      <c r="J74" s="47"/>
      <c r="K74" s="47"/>
      <c r="L74" s="47"/>
      <c r="M74" s="394" t="e">
        <f t="shared" si="8"/>
        <v>#N/A</v>
      </c>
      <c r="Q74" s="35" t="s">
        <v>416</v>
      </c>
      <c r="R74" s="35" t="str">
        <f>F6&amp;", "&amp;F9&amp;", "&amp;F11</f>
        <v>Hunter Cooper, Willoughby Hawkins, .</v>
      </c>
      <c r="S74" s="35">
        <f t="shared" si="6"/>
        <v>0</v>
      </c>
      <c r="T74" s="35" t="s">
        <v>416</v>
      </c>
      <c r="U74" s="35" t="str">
        <f>J6&amp;", "&amp;J9&amp;", "&amp;J11</f>
        <v>Harper Villafana, Remy Hollis, .</v>
      </c>
      <c r="V74" s="35">
        <f t="shared" si="7"/>
        <v>0</v>
      </c>
      <c r="X74" s="35"/>
      <c r="Y74" s="35"/>
      <c r="Z74" s="35"/>
      <c r="AA74" s="35"/>
      <c r="AB74" s="35"/>
      <c r="AC74" s="35"/>
      <c r="AD74" s="35"/>
    </row>
    <row r="75" spans="1:30" ht="13.5" thickTop="1" x14ac:dyDescent="0.2">
      <c r="A75" s="42" t="str">
        <f>'Ballot Entry'!A66</f>
        <v>Hide</v>
      </c>
      <c r="B75" s="43">
        <f>'Ballot Entry'!B66</f>
        <v>0</v>
      </c>
      <c r="C75" s="43" t="s">
        <v>285</v>
      </c>
      <c r="D75" s="48"/>
      <c r="E75" s="45"/>
      <c r="F75" s="48"/>
      <c r="G75" s="48"/>
      <c r="H75" s="48"/>
      <c r="I75" s="237" t="e">
        <f t="shared" si="0"/>
        <v>#N/A</v>
      </c>
      <c r="J75" s="48"/>
      <c r="K75" s="48"/>
      <c r="L75" s="48"/>
      <c r="M75" s="394" t="e">
        <f t="shared" si="8"/>
        <v>#N/A</v>
      </c>
      <c r="N75" s="35" t="e">
        <f t="shared" ref="N75" si="12">LARGE(I75:I77,3)&amp;","&amp;LARGE(I75:I77,2)&amp;","&amp;LARGE(I75:I77,1)</f>
        <v>#N/A</v>
      </c>
      <c r="O75" s="35" t="e">
        <f t="shared" ref="O75" si="13">LARGE(M75:M77,3)&amp;","&amp;LARGE(M75:M77,2)&amp;","&amp;LARGE(M75:M77,1)</f>
        <v>#N/A</v>
      </c>
      <c r="Q75" s="35" t="s">
        <v>417</v>
      </c>
      <c r="R75" s="35" t="str">
        <f>F6&amp;", "&amp;F10&amp;", "&amp;F11</f>
        <v>Hunter Cooper, ., .</v>
      </c>
      <c r="S75" s="35">
        <f t="shared" si="6"/>
        <v>0</v>
      </c>
      <c r="T75" s="35" t="s">
        <v>417</v>
      </c>
      <c r="U75" s="35" t="str">
        <f>J6&amp;", "&amp;J10&amp;", "&amp;J11</f>
        <v>Harper Villafana, ., .</v>
      </c>
      <c r="V75" s="35">
        <f t="shared" si="7"/>
        <v>0</v>
      </c>
      <c r="X75" s="35"/>
      <c r="Y75" s="35"/>
      <c r="Z75" s="35"/>
      <c r="AA75" s="35"/>
      <c r="AB75" s="35"/>
      <c r="AC75" s="35"/>
      <c r="AD75" s="35"/>
    </row>
    <row r="76" spans="1:30" x14ac:dyDescent="0.2">
      <c r="A76" s="18" t="str">
        <f t="shared" ref="A76:A77" si="14">A75</f>
        <v>Hide</v>
      </c>
      <c r="B76" s="45"/>
      <c r="C76" s="45"/>
      <c r="D76" s="45"/>
      <c r="E76" s="45"/>
      <c r="F76" s="49"/>
      <c r="G76" s="49"/>
      <c r="H76" s="49"/>
      <c r="I76" s="237" t="e">
        <f t="shared" si="0"/>
        <v>#N/A</v>
      </c>
      <c r="J76" s="49"/>
      <c r="K76" s="49"/>
      <c r="L76" s="49"/>
      <c r="M76" s="394" t="e">
        <f t="shared" si="8"/>
        <v>#N/A</v>
      </c>
      <c r="Q76" s="35" t="s">
        <v>183</v>
      </c>
      <c r="R76" s="35" t="str">
        <f>F7&amp;", "&amp;F8&amp;", "&amp;F9</f>
        <v>Jameson Clark, Remy Hollis, Willoughby Hawkins</v>
      </c>
      <c r="S76" s="35">
        <f t="shared" si="6"/>
        <v>0</v>
      </c>
      <c r="T76" s="35" t="s">
        <v>183</v>
      </c>
      <c r="U76" s="35" t="str">
        <f>J7&amp;", "&amp;J8&amp;", "&amp;J9</f>
        <v>Hunter Cooper, Miller McCoy, Remy Hollis</v>
      </c>
      <c r="V76" s="35">
        <f t="shared" si="7"/>
        <v>0</v>
      </c>
      <c r="X76" s="35"/>
      <c r="Y76" s="35"/>
      <c r="Z76" s="35"/>
      <c r="AA76" s="35"/>
      <c r="AB76" s="35"/>
      <c r="AC76" s="35"/>
      <c r="AD76" s="35"/>
    </row>
    <row r="77" spans="1:30" ht="13.5" thickBot="1" x14ac:dyDescent="0.25">
      <c r="A77" s="18" t="str">
        <f t="shared" si="14"/>
        <v>Hide</v>
      </c>
      <c r="B77" s="45"/>
      <c r="E77" s="51"/>
      <c r="F77" s="50"/>
      <c r="G77" s="50"/>
      <c r="H77" s="50"/>
      <c r="I77" s="237" t="e">
        <f t="shared" si="0"/>
        <v>#N/A</v>
      </c>
      <c r="J77" s="50"/>
      <c r="K77" s="50"/>
      <c r="L77" s="50"/>
      <c r="M77" s="394" t="e">
        <f t="shared" si="8"/>
        <v>#N/A</v>
      </c>
      <c r="Q77" s="35" t="s">
        <v>264</v>
      </c>
      <c r="R77" s="35" t="str">
        <f>F7&amp;", "&amp;F8&amp;", "&amp;F10</f>
        <v>Jameson Clark, Remy Hollis, .</v>
      </c>
      <c r="S77" s="35">
        <f t="shared" si="6"/>
        <v>0</v>
      </c>
      <c r="T77" s="35" t="s">
        <v>264</v>
      </c>
      <c r="U77" s="35" t="str">
        <f>J7&amp;", "&amp;J8&amp;", "&amp;J10</f>
        <v>Hunter Cooper, Miller McCoy, .</v>
      </c>
      <c r="V77" s="35">
        <f t="shared" si="7"/>
        <v>0</v>
      </c>
      <c r="X77" s="35"/>
      <c r="Y77" s="35"/>
      <c r="Z77" s="35"/>
      <c r="AA77" s="35"/>
      <c r="AB77" s="35"/>
      <c r="AC77" s="35"/>
      <c r="AD77" s="35"/>
    </row>
    <row r="78" spans="1:30" ht="13.5" thickTop="1" x14ac:dyDescent="0.2">
      <c r="A78" s="42" t="str">
        <f>'Ballot Entry'!A69</f>
        <v>Hide</v>
      </c>
      <c r="B78" s="43">
        <f>'Ballot Entry'!B69</f>
        <v>0</v>
      </c>
      <c r="C78" s="43" t="s">
        <v>285</v>
      </c>
      <c r="D78" s="44"/>
      <c r="E78" s="45"/>
      <c r="F78" s="44"/>
      <c r="G78" s="44"/>
      <c r="H78" s="44"/>
      <c r="I78" s="237" t="e">
        <f t="shared" si="0"/>
        <v>#N/A</v>
      </c>
      <c r="J78" s="44"/>
      <c r="K78" s="44"/>
      <c r="L78" s="44"/>
      <c r="M78" s="394" t="e">
        <f t="shared" si="8"/>
        <v>#N/A</v>
      </c>
      <c r="N78" s="35" t="e">
        <f t="shared" ref="N78" si="15">LARGE(I78:I80,3)&amp;","&amp;LARGE(I78:I80,2)&amp;","&amp;LARGE(I78:I80,1)</f>
        <v>#N/A</v>
      </c>
      <c r="O78" s="35" t="e">
        <f t="shared" ref="O78" si="16">LARGE(M78:M80,3)&amp;","&amp;LARGE(M78:M80,2)&amp;","&amp;LARGE(M78:M80,1)</f>
        <v>#N/A</v>
      </c>
      <c r="Q78" s="35" t="s">
        <v>265</v>
      </c>
      <c r="R78" s="35" t="str">
        <f>F7&amp;", "&amp;F8&amp;", "&amp;F11</f>
        <v>Jameson Clark, Remy Hollis, .</v>
      </c>
      <c r="S78" s="35">
        <f t="shared" si="6"/>
        <v>0</v>
      </c>
      <c r="T78" s="35" t="s">
        <v>265</v>
      </c>
      <c r="U78" s="35" t="str">
        <f>J7&amp;", "&amp;J8&amp;", "&amp;J11</f>
        <v>Hunter Cooper, Miller McCoy, .</v>
      </c>
      <c r="V78" s="35">
        <f t="shared" si="7"/>
        <v>0</v>
      </c>
      <c r="X78" s="35"/>
      <c r="Y78" s="35"/>
      <c r="Z78" s="35"/>
      <c r="AA78" s="35"/>
      <c r="AB78" s="35"/>
      <c r="AC78" s="35"/>
      <c r="AD78" s="35"/>
    </row>
    <row r="79" spans="1:30" x14ac:dyDescent="0.2">
      <c r="A79" s="18" t="str">
        <f t="shared" ref="A79:A80" si="17">A78</f>
        <v>Hide</v>
      </c>
      <c r="B79" s="45"/>
      <c r="C79" s="45"/>
      <c r="D79" s="45"/>
      <c r="E79" s="45"/>
      <c r="F79" s="46"/>
      <c r="G79" s="46"/>
      <c r="H79" s="46"/>
      <c r="I79" s="237" t="e">
        <f t="shared" si="0"/>
        <v>#N/A</v>
      </c>
      <c r="J79" s="46"/>
      <c r="K79" s="46"/>
      <c r="L79" s="46"/>
      <c r="M79" s="394" t="e">
        <f t="shared" si="8"/>
        <v>#N/A</v>
      </c>
      <c r="Q79" s="35" t="s">
        <v>418</v>
      </c>
      <c r="R79" s="35" t="str">
        <f>F7&amp;", "</f>
        <v xml:space="preserve">Jameson Clark, </v>
      </c>
      <c r="S79" s="35">
        <f t="shared" si="6"/>
        <v>0</v>
      </c>
      <c r="T79" s="35" t="s">
        <v>418</v>
      </c>
      <c r="U79" s="35" t="str">
        <f>J7&amp;", "</f>
        <v xml:space="preserve">Hunter Cooper, </v>
      </c>
      <c r="V79" s="35">
        <f t="shared" si="7"/>
        <v>0</v>
      </c>
      <c r="X79" s="35"/>
      <c r="Y79" s="35"/>
      <c r="Z79" s="35"/>
      <c r="AA79" s="35"/>
      <c r="AB79" s="35"/>
      <c r="AC79" s="35"/>
      <c r="AD79" s="35"/>
    </row>
    <row r="80" spans="1:30" ht="13.5" thickBot="1" x14ac:dyDescent="0.25">
      <c r="A80" s="18" t="str">
        <f t="shared" si="17"/>
        <v>Hide</v>
      </c>
      <c r="B80" s="45"/>
      <c r="E80" s="45"/>
      <c r="F80" s="47"/>
      <c r="G80" s="47"/>
      <c r="H80" s="47"/>
      <c r="I80" s="237" t="e">
        <f t="shared" si="0"/>
        <v>#N/A</v>
      </c>
      <c r="J80" s="47"/>
      <c r="K80" s="47"/>
      <c r="L80" s="47"/>
      <c r="M80" s="394" t="e">
        <f t="shared" si="8"/>
        <v>#N/A</v>
      </c>
      <c r="Q80" s="35" t="s">
        <v>419</v>
      </c>
      <c r="R80" s="35" t="str">
        <f>F7&amp;", "&amp;F9&amp;", "&amp;F11</f>
        <v>Jameson Clark, Willoughby Hawkins, .</v>
      </c>
      <c r="S80" s="35">
        <f t="shared" si="6"/>
        <v>0</v>
      </c>
      <c r="T80" s="35" t="s">
        <v>419</v>
      </c>
      <c r="U80" s="35" t="str">
        <f>J7&amp;", "&amp;J9&amp;", "&amp;J11</f>
        <v>Hunter Cooper, Remy Hollis, .</v>
      </c>
      <c r="V80" s="35">
        <f t="shared" si="7"/>
        <v>0</v>
      </c>
      <c r="X80" s="35"/>
      <c r="Y80" s="35"/>
      <c r="Z80" s="35"/>
      <c r="AA80" s="35"/>
      <c r="AB80" s="35"/>
      <c r="AC80" s="35"/>
      <c r="AD80" s="35"/>
    </row>
    <row r="81" spans="1:30" ht="13.5" thickTop="1" x14ac:dyDescent="0.2">
      <c r="A81" s="42" t="str">
        <f>'Ballot Entry'!A72</f>
        <v>Hide</v>
      </c>
      <c r="B81" s="43">
        <f>'Ballot Entry'!B72</f>
        <v>0</v>
      </c>
      <c r="C81" s="43" t="s">
        <v>285</v>
      </c>
      <c r="D81" s="48"/>
      <c r="E81" s="45"/>
      <c r="F81" s="48"/>
      <c r="G81" s="48"/>
      <c r="H81" s="48"/>
      <c r="I81" s="237" t="e">
        <f t="shared" si="0"/>
        <v>#N/A</v>
      </c>
      <c r="J81" s="48"/>
      <c r="K81" s="48"/>
      <c r="L81" s="48"/>
      <c r="M81" s="394" t="e">
        <f t="shared" si="8"/>
        <v>#N/A</v>
      </c>
      <c r="N81" s="35" t="e">
        <f t="shared" ref="N81" si="18">LARGE(I81:I83,3)&amp;","&amp;LARGE(I81:I83,2)&amp;","&amp;LARGE(I81:I83,1)</f>
        <v>#N/A</v>
      </c>
      <c r="O81" s="35" t="e">
        <f t="shared" ref="O81" si="19">LARGE(M81:M83,3)&amp;","&amp;LARGE(M81:M83,2)&amp;","&amp;LARGE(M81:M83,1)</f>
        <v>#N/A</v>
      </c>
      <c r="Q81" s="35" t="s">
        <v>420</v>
      </c>
      <c r="R81" s="35" t="str">
        <f>F7&amp;", "&amp;F10&amp;", "&amp;F11</f>
        <v>Jameson Clark, ., .</v>
      </c>
      <c r="S81" s="35">
        <f t="shared" si="6"/>
        <v>0</v>
      </c>
      <c r="T81" s="35" t="s">
        <v>420</v>
      </c>
      <c r="U81" s="35" t="str">
        <f>J7&amp;", "&amp;J10&amp;", "&amp;J11</f>
        <v>Hunter Cooper, ., .</v>
      </c>
      <c r="V81" s="35">
        <f t="shared" si="7"/>
        <v>0</v>
      </c>
      <c r="X81" s="35"/>
      <c r="Y81" s="35"/>
      <c r="Z81" s="35"/>
      <c r="AA81" s="35"/>
      <c r="AB81" s="35"/>
      <c r="AC81" s="35"/>
      <c r="AD81" s="35"/>
    </row>
    <row r="82" spans="1:30" x14ac:dyDescent="0.2">
      <c r="A82" s="18" t="str">
        <f t="shared" ref="A82:A83" si="20">A81</f>
        <v>Hide</v>
      </c>
      <c r="B82" s="45"/>
      <c r="C82" s="45"/>
      <c r="D82" s="45"/>
      <c r="E82" s="45"/>
      <c r="F82" s="49"/>
      <c r="G82" s="49"/>
      <c r="H82" s="49"/>
      <c r="I82" s="237" t="e">
        <f t="shared" si="0"/>
        <v>#N/A</v>
      </c>
      <c r="J82" s="49"/>
      <c r="K82" s="49"/>
      <c r="L82" s="49"/>
      <c r="M82" s="394" t="e">
        <f t="shared" si="8"/>
        <v>#N/A</v>
      </c>
      <c r="Q82" s="35" t="s">
        <v>266</v>
      </c>
      <c r="R82" s="35" t="str">
        <f>F8&amp;", "&amp;F9&amp;", "&amp;F10</f>
        <v>Remy Hollis, Willoughby Hawkins, .</v>
      </c>
      <c r="S82" s="35">
        <f t="shared" si="6"/>
        <v>0</v>
      </c>
      <c r="T82" s="35" t="s">
        <v>266</v>
      </c>
      <c r="U82" s="35" t="str">
        <f>J8&amp;", "&amp;J9&amp;", "&amp;J10</f>
        <v>Miller McCoy, Remy Hollis, .</v>
      </c>
      <c r="V82" s="35">
        <f t="shared" si="7"/>
        <v>0</v>
      </c>
      <c r="X82" s="35"/>
      <c r="Y82" s="35"/>
      <c r="Z82" s="35"/>
      <c r="AA82" s="35"/>
      <c r="AB82" s="35"/>
      <c r="AC82" s="35"/>
      <c r="AD82" s="35"/>
    </row>
    <row r="83" spans="1:30" ht="13.5" thickBot="1" x14ac:dyDescent="0.25">
      <c r="A83" s="18" t="str">
        <f t="shared" si="20"/>
        <v>Hide</v>
      </c>
      <c r="B83" s="45"/>
      <c r="E83" s="51"/>
      <c r="F83" s="50"/>
      <c r="G83" s="50"/>
      <c r="H83" s="50"/>
      <c r="I83" s="237" t="e">
        <f t="shared" si="0"/>
        <v>#N/A</v>
      </c>
      <c r="J83" s="50"/>
      <c r="K83" s="50"/>
      <c r="L83" s="50"/>
      <c r="M83" s="394" t="e">
        <f t="shared" si="8"/>
        <v>#N/A</v>
      </c>
      <c r="Q83" s="35" t="s">
        <v>267</v>
      </c>
      <c r="R83" s="35" t="str">
        <f>F8&amp;", "&amp;F9&amp;", "&amp;F11</f>
        <v>Remy Hollis, Willoughby Hawkins, .</v>
      </c>
      <c r="S83" s="35">
        <f t="shared" si="6"/>
        <v>0</v>
      </c>
      <c r="T83" s="35" t="s">
        <v>267</v>
      </c>
      <c r="U83" s="35" t="str">
        <f>J8&amp;", "&amp;J9&amp;", "&amp;J11</f>
        <v>Miller McCoy, Remy Hollis, .</v>
      </c>
      <c r="V83" s="35">
        <f t="shared" si="7"/>
        <v>0</v>
      </c>
      <c r="X83" s="35"/>
      <c r="Y83" s="35"/>
      <c r="Z83" s="35"/>
      <c r="AA83" s="35"/>
      <c r="AB83" s="35"/>
      <c r="AC83" s="35"/>
      <c r="AD83" s="35"/>
    </row>
    <row r="84" spans="1:30" ht="13.5" thickTop="1" x14ac:dyDescent="0.2">
      <c r="A84" s="42" t="str">
        <f>'Ballot Entry'!A75</f>
        <v>Hide</v>
      </c>
      <c r="B84" s="43">
        <f>'Ballot Entry'!B75</f>
        <v>0</v>
      </c>
      <c r="C84" s="43" t="s">
        <v>285</v>
      </c>
      <c r="D84" s="44"/>
      <c r="E84" s="45"/>
      <c r="F84" s="44"/>
      <c r="G84" s="44"/>
      <c r="H84" s="44"/>
      <c r="I84" s="237" t="e">
        <f t="shared" si="0"/>
        <v>#N/A</v>
      </c>
      <c r="J84" s="44"/>
      <c r="K84" s="44"/>
      <c r="L84" s="44"/>
      <c r="M84" s="394" t="e">
        <f t="shared" si="8"/>
        <v>#N/A</v>
      </c>
      <c r="N84" s="35" t="e">
        <f t="shared" ref="N84" si="21">LARGE(I84:I86,3)&amp;","&amp;LARGE(I84:I86,2)&amp;","&amp;LARGE(I84:I86,1)</f>
        <v>#N/A</v>
      </c>
      <c r="O84" s="35" t="e">
        <f t="shared" ref="O84" si="22">LARGE(M84:M86,3)&amp;","&amp;LARGE(M84:M86,2)&amp;","&amp;LARGE(M84:M86,1)</f>
        <v>#N/A</v>
      </c>
      <c r="Q84" s="35" t="s">
        <v>421</v>
      </c>
      <c r="R84" s="35" t="str">
        <f>F8&amp;", "&amp;F10&amp;", "&amp;F11</f>
        <v>Remy Hollis, ., .</v>
      </c>
      <c r="S84" s="35">
        <f t="shared" si="6"/>
        <v>0</v>
      </c>
      <c r="T84" s="35" t="s">
        <v>421</v>
      </c>
      <c r="U84" s="35" t="str">
        <f>J8&amp;", "&amp;J10&amp;", "&amp;J11</f>
        <v>Miller McCoy, ., .</v>
      </c>
      <c r="V84" s="35">
        <f t="shared" si="7"/>
        <v>0</v>
      </c>
      <c r="X84" s="35"/>
      <c r="Y84" s="35"/>
      <c r="Z84" s="35"/>
      <c r="AA84" s="35"/>
      <c r="AB84" s="35"/>
      <c r="AC84" s="35"/>
      <c r="AD84" s="35"/>
    </row>
    <row r="85" spans="1:30" x14ac:dyDescent="0.2">
      <c r="A85" s="18" t="str">
        <f t="shared" ref="A85:A86" si="23">A84</f>
        <v>Hide</v>
      </c>
      <c r="B85" s="45"/>
      <c r="C85" s="45"/>
      <c r="D85" s="45"/>
      <c r="E85" s="45"/>
      <c r="F85" s="46"/>
      <c r="G85" s="46"/>
      <c r="H85" s="46"/>
      <c r="I85" s="237" t="e">
        <f t="shared" si="0"/>
        <v>#N/A</v>
      </c>
      <c r="J85" s="46"/>
      <c r="K85" s="46"/>
      <c r="L85" s="46"/>
      <c r="M85" s="394" t="e">
        <f t="shared" si="8"/>
        <v>#N/A</v>
      </c>
      <c r="Q85" s="35" t="s">
        <v>268</v>
      </c>
      <c r="R85" s="35" t="str">
        <f>F9&amp;", "&amp;F10&amp;", "&amp;F11</f>
        <v>Willoughby Hawkins, ., .</v>
      </c>
      <c r="S85" s="35">
        <f t="shared" si="6"/>
        <v>0</v>
      </c>
      <c r="T85" s="35" t="s">
        <v>268</v>
      </c>
      <c r="U85" s="35" t="str">
        <f>J9&amp;", "&amp;J10&amp;", "&amp;J11</f>
        <v>Remy Hollis, ., .</v>
      </c>
      <c r="V85" s="35">
        <f t="shared" si="7"/>
        <v>0</v>
      </c>
      <c r="X85" s="35"/>
      <c r="Y85" s="35"/>
      <c r="Z85" s="35"/>
      <c r="AA85" s="35"/>
      <c r="AB85" s="35"/>
      <c r="AC85" s="35"/>
      <c r="AD85" s="35"/>
    </row>
    <row r="86" spans="1:30" ht="13.5" thickBot="1" x14ac:dyDescent="0.25">
      <c r="A86" s="18" t="str">
        <f t="shared" si="23"/>
        <v>Hide</v>
      </c>
      <c r="B86" s="45"/>
      <c r="E86" s="45"/>
      <c r="F86" s="47"/>
      <c r="G86" s="47"/>
      <c r="H86" s="47"/>
      <c r="I86" s="237" t="e">
        <f t="shared" si="0"/>
        <v>#N/A</v>
      </c>
      <c r="J86" s="47"/>
      <c r="K86" s="47"/>
      <c r="L86" s="47"/>
      <c r="M86" s="394" t="e">
        <f t="shared" si="8"/>
        <v>#N/A</v>
      </c>
    </row>
    <row r="87" spans="1:30" ht="13.5" thickTop="1" x14ac:dyDescent="0.2">
      <c r="A87" s="42" t="str">
        <f>'Ballot Entry'!A78</f>
        <v>Hide</v>
      </c>
      <c r="B87" s="43">
        <f>'Ballot Entry'!B78</f>
        <v>0</v>
      </c>
      <c r="C87" s="43" t="s">
        <v>285</v>
      </c>
      <c r="D87" s="48"/>
      <c r="E87" s="45"/>
      <c r="F87" s="48"/>
      <c r="G87" s="48"/>
      <c r="H87" s="48"/>
      <c r="I87" s="237" t="e">
        <f t="shared" si="0"/>
        <v>#N/A</v>
      </c>
      <c r="J87" s="48"/>
      <c r="K87" s="48"/>
      <c r="L87" s="48"/>
      <c r="M87" s="394" t="e">
        <f t="shared" si="8"/>
        <v>#N/A</v>
      </c>
      <c r="N87" s="35" t="e">
        <f t="shared" ref="N87" si="24">LARGE(I87:I89,3)&amp;","&amp;LARGE(I87:I89,2)&amp;","&amp;LARGE(I87:I89,1)</f>
        <v>#N/A</v>
      </c>
      <c r="O87" s="35" t="e">
        <f t="shared" ref="O87" si="25">LARGE(M87:M89,3)&amp;","&amp;LARGE(M87:M89,2)&amp;","&amp;LARGE(M87:M89,1)</f>
        <v>#N/A</v>
      </c>
    </row>
    <row r="88" spans="1:30" x14ac:dyDescent="0.2">
      <c r="A88" s="18" t="str">
        <f t="shared" ref="A88:A89" si="26">A87</f>
        <v>Hide</v>
      </c>
      <c r="B88" s="45"/>
      <c r="C88" s="45"/>
      <c r="D88" s="45"/>
      <c r="E88" s="45"/>
      <c r="F88" s="49"/>
      <c r="G88" s="49"/>
      <c r="H88" s="49"/>
      <c r="I88" s="237" t="e">
        <f t="shared" si="0"/>
        <v>#N/A</v>
      </c>
      <c r="J88" s="49"/>
      <c r="K88" s="49"/>
      <c r="L88" s="49"/>
      <c r="M88" s="394" t="e">
        <f t="shared" si="8"/>
        <v>#N/A</v>
      </c>
    </row>
    <row r="89" spans="1:30" ht="13.5" thickBot="1" x14ac:dyDescent="0.25">
      <c r="A89" s="18" t="str">
        <f t="shared" si="26"/>
        <v>Hide</v>
      </c>
      <c r="B89" s="45"/>
      <c r="E89" s="51"/>
      <c r="F89" s="50"/>
      <c r="G89" s="50"/>
      <c r="H89" s="50"/>
      <c r="I89" s="237" t="e">
        <f t="shared" si="0"/>
        <v>#N/A</v>
      </c>
      <c r="J89" s="50"/>
      <c r="K89" s="50"/>
      <c r="L89" s="50"/>
      <c r="M89" s="394" t="e">
        <f t="shared" si="8"/>
        <v>#N/A</v>
      </c>
    </row>
    <row r="90" spans="1:30" ht="13.5" thickTop="1" x14ac:dyDescent="0.2">
      <c r="A90" s="42" t="str">
        <f>'Ballot Entry'!A81</f>
        <v>Hide</v>
      </c>
      <c r="B90" s="43">
        <f>'Ballot Entry'!B81</f>
        <v>0</v>
      </c>
      <c r="C90" s="43" t="s">
        <v>285</v>
      </c>
      <c r="D90" s="44"/>
      <c r="E90" s="45"/>
      <c r="F90" s="44"/>
      <c r="G90" s="44"/>
      <c r="H90" s="44"/>
      <c r="I90" s="237" t="e">
        <f t="shared" si="0"/>
        <v>#N/A</v>
      </c>
      <c r="J90" s="44"/>
      <c r="K90" s="44"/>
      <c r="L90" s="44"/>
      <c r="M90" s="394" t="e">
        <f t="shared" si="8"/>
        <v>#N/A</v>
      </c>
      <c r="N90" s="35" t="e">
        <f t="shared" ref="N90" si="27">LARGE(I90:I92,3)&amp;","&amp;LARGE(I90:I92,2)&amp;","&amp;LARGE(I90:I92,1)</f>
        <v>#N/A</v>
      </c>
      <c r="O90" s="35" t="e">
        <f t="shared" ref="O90" si="28">LARGE(M90:M92,3)&amp;","&amp;LARGE(M90:M92,2)&amp;","&amp;LARGE(M90:M92,1)</f>
        <v>#N/A</v>
      </c>
    </row>
    <row r="91" spans="1:30" x14ac:dyDescent="0.2">
      <c r="A91" s="18" t="str">
        <f t="shared" ref="A91:A92" si="29">A90</f>
        <v>Hide</v>
      </c>
      <c r="B91" s="45"/>
      <c r="C91" s="45"/>
      <c r="D91" s="45"/>
      <c r="E91" s="45"/>
      <c r="F91" s="46"/>
      <c r="G91" s="46"/>
      <c r="H91" s="46"/>
      <c r="I91" s="237" t="e">
        <f t="shared" si="0"/>
        <v>#N/A</v>
      </c>
      <c r="J91" s="46"/>
      <c r="K91" s="46"/>
      <c r="L91" s="46"/>
      <c r="M91" s="394" t="e">
        <f t="shared" si="8"/>
        <v>#N/A</v>
      </c>
    </row>
    <row r="92" spans="1:30" ht="13.5" thickBot="1" x14ac:dyDescent="0.25">
      <c r="A92" s="18" t="str">
        <f t="shared" si="29"/>
        <v>Hide</v>
      </c>
      <c r="B92" s="45"/>
      <c r="E92" s="45"/>
      <c r="F92" s="47"/>
      <c r="G92" s="47"/>
      <c r="H92" s="47"/>
      <c r="I92" s="237" t="e">
        <f t="shared" si="0"/>
        <v>#N/A</v>
      </c>
      <c r="J92" s="47"/>
      <c r="K92" s="47"/>
      <c r="L92" s="47"/>
      <c r="M92" s="394" t="e">
        <f t="shared" si="8"/>
        <v>#N/A</v>
      </c>
    </row>
    <row r="93" spans="1:30" ht="13.5" thickTop="1" x14ac:dyDescent="0.2">
      <c r="A93" s="42" t="str">
        <f>'Ballot Entry'!A84</f>
        <v>Hide</v>
      </c>
      <c r="B93" s="43">
        <f>'Ballot Entry'!B84</f>
        <v>0</v>
      </c>
      <c r="C93" s="43" t="s">
        <v>285</v>
      </c>
      <c r="D93" s="48"/>
      <c r="E93" s="45"/>
      <c r="F93" s="48"/>
      <c r="G93" s="48"/>
      <c r="H93" s="48"/>
      <c r="I93" s="237" t="e">
        <f t="shared" si="0"/>
        <v>#N/A</v>
      </c>
      <c r="J93" s="48"/>
      <c r="K93" s="48"/>
      <c r="L93" s="48"/>
      <c r="M93" s="394" t="e">
        <f t="shared" si="8"/>
        <v>#N/A</v>
      </c>
      <c r="N93" s="35" t="e">
        <f t="shared" ref="N93" si="30">LARGE(I93:I95,3)&amp;","&amp;LARGE(I93:I95,2)&amp;","&amp;LARGE(I93:I95,1)</f>
        <v>#N/A</v>
      </c>
      <c r="O93" s="35" t="e">
        <f t="shared" ref="O93" si="31">LARGE(M93:M95,3)&amp;","&amp;LARGE(M93:M95,2)&amp;","&amp;LARGE(M93:M95,1)</f>
        <v>#N/A</v>
      </c>
    </row>
    <row r="94" spans="1:30" x14ac:dyDescent="0.2">
      <c r="A94" s="18" t="str">
        <f t="shared" ref="A94:A95" si="32">A93</f>
        <v>Hide</v>
      </c>
      <c r="B94" s="45"/>
      <c r="C94" s="45"/>
      <c r="D94" s="45"/>
      <c r="E94" s="45"/>
      <c r="F94" s="49"/>
      <c r="G94" s="49"/>
      <c r="H94" s="49"/>
      <c r="I94" s="237" t="e">
        <f t="shared" si="0"/>
        <v>#N/A</v>
      </c>
      <c r="J94" s="49"/>
      <c r="K94" s="49"/>
      <c r="L94" s="49"/>
      <c r="M94" s="394" t="e">
        <f t="shared" si="8"/>
        <v>#N/A</v>
      </c>
    </row>
    <row r="95" spans="1:30" ht="13.5" thickBot="1" x14ac:dyDescent="0.25">
      <c r="A95" s="18" t="str">
        <f t="shared" si="32"/>
        <v>Hide</v>
      </c>
      <c r="B95" s="45"/>
      <c r="E95" s="51"/>
      <c r="F95" s="50"/>
      <c r="G95" s="50"/>
      <c r="H95" s="50"/>
      <c r="I95" s="237" t="e">
        <f t="shared" si="0"/>
        <v>#N/A</v>
      </c>
      <c r="J95" s="50"/>
      <c r="K95" s="50"/>
      <c r="L95" s="50"/>
      <c r="M95" s="394" t="e">
        <f t="shared" si="8"/>
        <v>#N/A</v>
      </c>
    </row>
    <row r="96" spans="1:30" ht="13.5" thickTop="1" x14ac:dyDescent="0.2">
      <c r="A96" s="42" t="str">
        <f>'Ballot Entry'!A87</f>
        <v>Hide</v>
      </c>
      <c r="B96" s="43">
        <f>'Ballot Entry'!B87</f>
        <v>0</v>
      </c>
      <c r="C96" s="43" t="s">
        <v>285</v>
      </c>
      <c r="D96" s="44"/>
      <c r="E96" s="45"/>
      <c r="F96" s="44"/>
      <c r="G96" s="44"/>
      <c r="H96" s="44"/>
      <c r="I96" s="237" t="e">
        <f t="shared" si="0"/>
        <v>#N/A</v>
      </c>
      <c r="J96" s="44"/>
      <c r="K96" s="44"/>
      <c r="L96" s="44"/>
      <c r="M96" s="394" t="e">
        <f t="shared" si="8"/>
        <v>#N/A</v>
      </c>
      <c r="N96" s="35" t="e">
        <f t="shared" ref="N96" si="33">LARGE(I96:I98,3)&amp;","&amp;LARGE(I96:I98,2)&amp;","&amp;LARGE(I96:I98,1)</f>
        <v>#N/A</v>
      </c>
      <c r="O96" s="35" t="e">
        <f t="shared" ref="O96" si="34">LARGE(M96:M98,3)&amp;","&amp;LARGE(M96:M98,2)&amp;","&amp;LARGE(M96:M98,1)</f>
        <v>#N/A</v>
      </c>
    </row>
    <row r="97" spans="1:15" x14ac:dyDescent="0.2">
      <c r="A97" s="18" t="str">
        <f t="shared" ref="A97:A98" si="35">A96</f>
        <v>Hide</v>
      </c>
      <c r="B97" s="45"/>
      <c r="C97" s="45"/>
      <c r="D97" s="45"/>
      <c r="E97" s="45"/>
      <c r="F97" s="46"/>
      <c r="G97" s="46"/>
      <c r="H97" s="46"/>
      <c r="I97" s="237" t="e">
        <f t="shared" si="0"/>
        <v>#N/A</v>
      </c>
      <c r="J97" s="46"/>
      <c r="K97" s="46"/>
      <c r="L97" s="46"/>
      <c r="M97" s="394" t="e">
        <f t="shared" si="8"/>
        <v>#N/A</v>
      </c>
    </row>
    <row r="98" spans="1:15" ht="13.5" thickBot="1" x14ac:dyDescent="0.25">
      <c r="A98" s="18" t="str">
        <f t="shared" si="35"/>
        <v>Hide</v>
      </c>
      <c r="B98" s="45"/>
      <c r="E98" s="45"/>
      <c r="F98" s="47"/>
      <c r="G98" s="47"/>
      <c r="H98" s="47"/>
      <c r="I98" s="237" t="e">
        <f t="shared" si="0"/>
        <v>#N/A</v>
      </c>
      <c r="J98" s="47"/>
      <c r="K98" s="47"/>
      <c r="L98" s="47"/>
      <c r="M98" s="394" t="e">
        <f t="shared" si="8"/>
        <v>#N/A</v>
      </c>
    </row>
    <row r="99" spans="1:15" ht="13.5" thickTop="1" x14ac:dyDescent="0.2">
      <c r="A99" s="42" t="str">
        <f>'Ballot Entry'!A90</f>
        <v>Hide</v>
      </c>
      <c r="B99" s="43">
        <f>'Ballot Entry'!B90</f>
        <v>0</v>
      </c>
      <c r="C99" s="43" t="s">
        <v>285</v>
      </c>
      <c r="D99" s="48"/>
      <c r="E99" s="45"/>
      <c r="F99" s="48"/>
      <c r="G99" s="48"/>
      <c r="H99" s="48"/>
      <c r="I99" s="237" t="e">
        <f t="shared" si="0"/>
        <v>#N/A</v>
      </c>
      <c r="J99" s="48"/>
      <c r="K99" s="48"/>
      <c r="L99" s="48"/>
      <c r="M99" s="394" t="e">
        <f t="shared" si="8"/>
        <v>#N/A</v>
      </c>
      <c r="N99" s="35" t="e">
        <f t="shared" ref="N99" si="36">LARGE(I99:I101,3)&amp;","&amp;LARGE(I99:I101,2)&amp;","&amp;LARGE(I99:I101,1)</f>
        <v>#N/A</v>
      </c>
      <c r="O99" s="35" t="e">
        <f t="shared" ref="O99" si="37">LARGE(M99:M101,3)&amp;","&amp;LARGE(M99:M101,2)&amp;","&amp;LARGE(M99:M101,1)</f>
        <v>#N/A</v>
      </c>
    </row>
    <row r="100" spans="1:15" x14ac:dyDescent="0.2">
      <c r="A100" s="18" t="str">
        <f t="shared" ref="A100:A101" si="38">A99</f>
        <v>Hide</v>
      </c>
      <c r="B100" s="45"/>
      <c r="C100" s="45"/>
      <c r="D100" s="45"/>
      <c r="E100" s="45"/>
      <c r="F100" s="49"/>
      <c r="G100" s="49"/>
      <c r="H100" s="49"/>
      <c r="I100" s="237" t="e">
        <f t="shared" si="0"/>
        <v>#N/A</v>
      </c>
      <c r="J100" s="49"/>
      <c r="K100" s="49"/>
      <c r="L100" s="49"/>
      <c r="M100" s="394" t="e">
        <f t="shared" si="8"/>
        <v>#N/A</v>
      </c>
    </row>
    <row r="101" spans="1:15" ht="13.5" thickBot="1" x14ac:dyDescent="0.25">
      <c r="A101" s="18" t="str">
        <f t="shared" si="38"/>
        <v>Hide</v>
      </c>
      <c r="B101" s="45"/>
      <c r="E101" s="51"/>
      <c r="F101" s="50"/>
      <c r="G101" s="50"/>
      <c r="H101" s="50"/>
      <c r="I101" s="237" t="e">
        <f t="shared" si="0"/>
        <v>#N/A</v>
      </c>
      <c r="J101" s="50"/>
      <c r="K101" s="50"/>
      <c r="L101" s="50"/>
      <c r="M101" s="394" t="e">
        <f t="shared" si="8"/>
        <v>#N/A</v>
      </c>
    </row>
    <row r="102" spans="1:15" ht="13.5" thickTop="1" x14ac:dyDescent="0.2">
      <c r="A102" s="42" t="str">
        <f>'Ballot Entry'!A93</f>
        <v>Hide</v>
      </c>
      <c r="B102" s="43">
        <f>'Ballot Entry'!B93</f>
        <v>0</v>
      </c>
      <c r="C102" s="43" t="s">
        <v>285</v>
      </c>
      <c r="D102" s="44"/>
      <c r="E102" s="45"/>
      <c r="F102" s="44"/>
      <c r="G102" s="44"/>
      <c r="H102" s="44"/>
      <c r="I102" s="237" t="e">
        <f t="shared" si="0"/>
        <v>#N/A</v>
      </c>
      <c r="J102" s="44"/>
      <c r="K102" s="44"/>
      <c r="L102" s="44"/>
      <c r="M102" s="394" t="e">
        <f t="shared" si="8"/>
        <v>#N/A</v>
      </c>
      <c r="N102" s="35" t="e">
        <f t="shared" ref="N102" si="39">LARGE(I102:I104,3)&amp;","&amp;LARGE(I102:I104,2)&amp;","&amp;LARGE(I102:I104,1)</f>
        <v>#N/A</v>
      </c>
      <c r="O102" s="35" t="e">
        <f t="shared" ref="O102" si="40">LARGE(M102:M104,3)&amp;","&amp;LARGE(M102:M104,2)&amp;","&amp;LARGE(M102:M104,1)</f>
        <v>#N/A</v>
      </c>
    </row>
    <row r="103" spans="1:15" x14ac:dyDescent="0.2">
      <c r="A103" s="18" t="str">
        <f t="shared" ref="A103:A104" si="41">A102</f>
        <v>Hide</v>
      </c>
      <c r="B103" s="45"/>
      <c r="C103" s="45"/>
      <c r="D103" s="45"/>
      <c r="E103" s="45"/>
      <c r="F103" s="46"/>
      <c r="G103" s="46"/>
      <c r="H103" s="46"/>
      <c r="I103" s="237" t="e">
        <f t="shared" si="0"/>
        <v>#N/A</v>
      </c>
      <c r="J103" s="46"/>
      <c r="K103" s="46"/>
      <c r="L103" s="46"/>
      <c r="M103" s="394" t="e">
        <f t="shared" si="8"/>
        <v>#N/A</v>
      </c>
    </row>
    <row r="104" spans="1:15" ht="13.5" thickBot="1" x14ac:dyDescent="0.25">
      <c r="A104" s="18" t="str">
        <f t="shared" si="41"/>
        <v>Hide</v>
      </c>
      <c r="B104" s="45"/>
      <c r="E104" s="45"/>
      <c r="F104" s="47"/>
      <c r="G104" s="47"/>
      <c r="H104" s="47"/>
      <c r="I104" s="237" t="e">
        <f t="shared" si="0"/>
        <v>#N/A</v>
      </c>
      <c r="J104" s="47"/>
      <c r="K104" s="47"/>
      <c r="L104" s="47"/>
      <c r="M104" s="394" t="e">
        <f t="shared" si="8"/>
        <v>#N/A</v>
      </c>
    </row>
    <row r="105" spans="1:15" ht="13.5" thickTop="1" x14ac:dyDescent="0.2">
      <c r="A105" s="42" t="str">
        <f>'Ballot Entry'!A96</f>
        <v>Hide</v>
      </c>
      <c r="B105" s="43">
        <f>'Ballot Entry'!B96</f>
        <v>0</v>
      </c>
      <c r="C105" s="43" t="s">
        <v>285</v>
      </c>
      <c r="D105" s="48"/>
      <c r="E105" s="45"/>
      <c r="F105" s="48"/>
      <c r="G105" s="48"/>
      <c r="H105" s="48"/>
      <c r="I105" s="237" t="e">
        <f t="shared" si="0"/>
        <v>#N/A</v>
      </c>
      <c r="J105" s="48"/>
      <c r="K105" s="48"/>
      <c r="L105" s="48"/>
      <c r="M105" s="394" t="e">
        <f t="shared" si="8"/>
        <v>#N/A</v>
      </c>
      <c r="N105" s="35" t="e">
        <f t="shared" ref="N105" si="42">LARGE(I105:I107,3)&amp;","&amp;LARGE(I105:I107,2)&amp;","&amp;LARGE(I105:I107,1)</f>
        <v>#N/A</v>
      </c>
      <c r="O105" s="35" t="e">
        <f t="shared" ref="O105" si="43">LARGE(M105:M107,3)&amp;","&amp;LARGE(M105:M107,2)&amp;","&amp;LARGE(M105:M107,1)</f>
        <v>#N/A</v>
      </c>
    </row>
    <row r="106" spans="1:15" x14ac:dyDescent="0.2">
      <c r="A106" s="18" t="str">
        <f t="shared" ref="A106:A107" si="44">A105</f>
        <v>Hide</v>
      </c>
      <c r="B106" s="45"/>
      <c r="C106" s="45"/>
      <c r="D106" s="45"/>
      <c r="E106" s="45"/>
      <c r="F106" s="49"/>
      <c r="G106" s="49"/>
      <c r="H106" s="49"/>
      <c r="I106" s="237" t="e">
        <f t="shared" si="0"/>
        <v>#N/A</v>
      </c>
      <c r="J106" s="49"/>
      <c r="K106" s="49"/>
      <c r="L106" s="49"/>
      <c r="M106" s="394" t="e">
        <f t="shared" si="8"/>
        <v>#N/A</v>
      </c>
    </row>
    <row r="107" spans="1:15" ht="13.5" thickBot="1" x14ac:dyDescent="0.25">
      <c r="A107" s="18" t="str">
        <f t="shared" si="44"/>
        <v>Hide</v>
      </c>
      <c r="B107" s="45"/>
      <c r="E107" s="51"/>
      <c r="F107" s="50"/>
      <c r="G107" s="50"/>
      <c r="H107" s="50"/>
      <c r="I107" s="237" t="e">
        <f t="shared" si="0"/>
        <v>#N/A</v>
      </c>
      <c r="J107" s="50"/>
      <c r="K107" s="50"/>
      <c r="L107" s="50"/>
      <c r="M107" s="394" t="e">
        <f t="shared" si="8"/>
        <v>#N/A</v>
      </c>
    </row>
    <row r="108" spans="1:15" ht="13.5" thickTop="1" x14ac:dyDescent="0.2">
      <c r="A108" s="42" t="str">
        <f>'Ballot Entry'!A99</f>
        <v>Hide</v>
      </c>
      <c r="B108" s="43">
        <f>'Ballot Entry'!B99</f>
        <v>0</v>
      </c>
      <c r="C108" s="43" t="s">
        <v>285</v>
      </c>
      <c r="D108" s="44"/>
      <c r="E108" s="45"/>
      <c r="F108" s="44"/>
      <c r="G108" s="44"/>
      <c r="H108" s="44"/>
      <c r="I108" s="237" t="e">
        <f t="shared" si="0"/>
        <v>#N/A</v>
      </c>
      <c r="J108" s="44"/>
      <c r="K108" s="44"/>
      <c r="L108" s="44"/>
      <c r="M108" s="394" t="e">
        <f t="shared" si="8"/>
        <v>#N/A</v>
      </c>
      <c r="N108" s="35" t="e">
        <f t="shared" ref="N108" si="45">LARGE(I108:I110,3)&amp;","&amp;LARGE(I108:I110,2)&amp;","&amp;LARGE(I108:I110,1)</f>
        <v>#N/A</v>
      </c>
      <c r="O108" s="35" t="e">
        <f t="shared" ref="O108" si="46">LARGE(M108:M110,3)&amp;","&amp;LARGE(M108:M110,2)&amp;","&amp;LARGE(M108:M110,1)</f>
        <v>#N/A</v>
      </c>
    </row>
    <row r="109" spans="1:15" x14ac:dyDescent="0.2">
      <c r="A109" s="18" t="str">
        <f t="shared" ref="A109:A110" si="47">A108</f>
        <v>Hide</v>
      </c>
      <c r="B109" s="45"/>
      <c r="C109" s="45"/>
      <c r="D109" s="45"/>
      <c r="E109" s="45"/>
      <c r="F109" s="46"/>
      <c r="G109" s="46"/>
      <c r="H109" s="46"/>
      <c r="I109" s="237" t="e">
        <f t="shared" si="0"/>
        <v>#N/A</v>
      </c>
      <c r="J109" s="46"/>
      <c r="K109" s="46"/>
      <c r="L109" s="46"/>
      <c r="M109" s="394" t="e">
        <f t="shared" si="8"/>
        <v>#N/A</v>
      </c>
    </row>
    <row r="110" spans="1:15" ht="13.5" thickBot="1" x14ac:dyDescent="0.25">
      <c r="A110" s="18" t="str">
        <f t="shared" si="47"/>
        <v>Hide</v>
      </c>
      <c r="B110" s="45"/>
      <c r="E110" s="45"/>
      <c r="F110" s="47"/>
      <c r="G110" s="47"/>
      <c r="H110" s="47"/>
      <c r="I110" s="237" t="e">
        <f t="shared" si="0"/>
        <v>#N/A</v>
      </c>
      <c r="J110" s="47"/>
      <c r="K110" s="47"/>
      <c r="L110" s="47"/>
      <c r="M110" s="394" t="e">
        <f t="shared" si="8"/>
        <v>#N/A</v>
      </c>
    </row>
    <row r="111" spans="1:15" ht="13.5" thickTop="1" x14ac:dyDescent="0.2">
      <c r="A111" s="42" t="str">
        <f>'Ballot Entry'!A102</f>
        <v>Hide</v>
      </c>
      <c r="B111" s="43">
        <f>'Ballot Entry'!B102</f>
        <v>0</v>
      </c>
      <c r="C111" s="43" t="s">
        <v>285</v>
      </c>
      <c r="D111" s="48"/>
      <c r="E111" s="45"/>
      <c r="F111" s="48"/>
      <c r="G111" s="48"/>
      <c r="H111" s="48"/>
      <c r="I111" s="237" t="e">
        <f t="shared" si="0"/>
        <v>#N/A</v>
      </c>
      <c r="J111" s="48"/>
      <c r="K111" s="48"/>
      <c r="L111" s="48"/>
      <c r="M111" s="394" t="e">
        <f t="shared" si="8"/>
        <v>#N/A</v>
      </c>
      <c r="N111" s="35" t="e">
        <f t="shared" ref="N111" si="48">LARGE(I111:I113,3)&amp;","&amp;LARGE(I111:I113,2)&amp;","&amp;LARGE(I111:I113,1)</f>
        <v>#N/A</v>
      </c>
      <c r="O111" s="35" t="e">
        <f t="shared" ref="O111" si="49">LARGE(M111:M113,3)&amp;","&amp;LARGE(M111:M113,2)&amp;","&amp;LARGE(M111:M113,1)</f>
        <v>#N/A</v>
      </c>
    </row>
    <row r="112" spans="1:15" x14ac:dyDescent="0.2">
      <c r="A112" s="18" t="str">
        <f t="shared" ref="A112:A113" si="50">A111</f>
        <v>Hide</v>
      </c>
      <c r="B112" s="45"/>
      <c r="C112" s="45"/>
      <c r="D112" s="45"/>
      <c r="E112" s="45"/>
      <c r="F112" s="49"/>
      <c r="G112" s="49"/>
      <c r="H112" s="49"/>
      <c r="I112" s="237" t="e">
        <f t="shared" si="0"/>
        <v>#N/A</v>
      </c>
      <c r="J112" s="49"/>
      <c r="K112" s="49"/>
      <c r="L112" s="49"/>
      <c r="M112" s="394" t="e">
        <f t="shared" si="8"/>
        <v>#N/A</v>
      </c>
    </row>
    <row r="113" spans="1:23" ht="13.5" thickBot="1" x14ac:dyDescent="0.25">
      <c r="A113" s="18" t="str">
        <f t="shared" si="50"/>
        <v>Hide</v>
      </c>
      <c r="B113" s="45"/>
      <c r="E113" s="51"/>
      <c r="F113" s="50"/>
      <c r="G113" s="50"/>
      <c r="H113" s="50"/>
      <c r="I113" s="237" t="e">
        <f t="shared" si="0"/>
        <v>#N/A</v>
      </c>
      <c r="J113" s="50"/>
      <c r="K113" s="50"/>
      <c r="L113" s="50"/>
      <c r="M113" s="394" t="e">
        <f t="shared" si="8"/>
        <v>#N/A</v>
      </c>
    </row>
    <row r="114" spans="1:23" ht="13.5" thickTop="1" x14ac:dyDescent="0.2">
      <c r="A114" s="42" t="str">
        <f>'Ballot Entry'!A105</f>
        <v>Hide</v>
      </c>
      <c r="B114" s="43">
        <f>'Ballot Entry'!B105</f>
        <v>0</v>
      </c>
      <c r="C114" s="43" t="s">
        <v>285</v>
      </c>
      <c r="D114" s="44"/>
      <c r="E114" s="45"/>
      <c r="F114" s="44"/>
      <c r="G114" s="44"/>
      <c r="H114" s="44"/>
      <c r="I114" s="237" t="e">
        <f t="shared" si="0"/>
        <v>#N/A</v>
      </c>
      <c r="J114" s="44"/>
      <c r="K114" s="44"/>
      <c r="L114" s="44"/>
      <c r="M114" s="394" t="e">
        <f t="shared" si="8"/>
        <v>#N/A</v>
      </c>
      <c r="N114" s="35" t="e">
        <f t="shared" ref="N114" si="51">LARGE(I114:I116,3)&amp;","&amp;LARGE(I114:I116,2)&amp;","&amp;LARGE(I114:I116,1)</f>
        <v>#N/A</v>
      </c>
      <c r="O114" s="35" t="e">
        <f t="shared" ref="O114" si="52">LARGE(M114:M116,3)&amp;","&amp;LARGE(M114:M116,2)&amp;","&amp;LARGE(M114:M116,1)</f>
        <v>#N/A</v>
      </c>
    </row>
    <row r="115" spans="1:23" x14ac:dyDescent="0.2">
      <c r="A115" s="18" t="str">
        <f t="shared" ref="A115:A116" si="53">A114</f>
        <v>Hide</v>
      </c>
      <c r="B115" s="45"/>
      <c r="C115" s="45"/>
      <c r="D115" s="45"/>
      <c r="E115" s="45"/>
      <c r="F115" s="46"/>
      <c r="G115" s="46"/>
      <c r="H115" s="46"/>
      <c r="I115" s="237" t="e">
        <f t="shared" si="0"/>
        <v>#N/A</v>
      </c>
      <c r="J115" s="46"/>
      <c r="K115" s="46"/>
      <c r="L115" s="46"/>
      <c r="M115" s="394" t="e">
        <f t="shared" si="8"/>
        <v>#N/A</v>
      </c>
    </row>
    <row r="116" spans="1:23" ht="13.5" thickBot="1" x14ac:dyDescent="0.25">
      <c r="A116" s="18" t="str">
        <f t="shared" si="53"/>
        <v>Hide</v>
      </c>
      <c r="B116" s="45"/>
      <c r="E116" s="45"/>
      <c r="F116" s="47"/>
      <c r="G116" s="47"/>
      <c r="H116" s="47"/>
      <c r="I116" s="237" t="e">
        <f t="shared" si="0"/>
        <v>#N/A</v>
      </c>
      <c r="J116" s="47"/>
      <c r="K116" s="47"/>
      <c r="L116" s="47"/>
      <c r="M116" s="394" t="e">
        <f t="shared" si="8"/>
        <v>#N/A</v>
      </c>
    </row>
    <row r="117" spans="1:23" s="32" customFormat="1" ht="14.25" thickTop="1" thickBot="1" x14ac:dyDescent="0.25">
      <c r="A117" s="52" t="str">
        <f>'Ballot Entry'!A108</f>
        <v>Round 2 Begins Here</v>
      </c>
      <c r="B117" s="52"/>
      <c r="C117" s="52"/>
      <c r="D117" s="93" t="s">
        <v>78</v>
      </c>
      <c r="E117" s="93"/>
      <c r="F117" s="93" t="s">
        <v>78</v>
      </c>
      <c r="G117" s="93"/>
      <c r="H117" s="93"/>
      <c r="I117" s="237">
        <f t="shared" si="0"/>
        <v>8</v>
      </c>
      <c r="J117" s="93" t="s">
        <v>78</v>
      </c>
      <c r="K117" s="93"/>
      <c r="L117" s="93"/>
      <c r="M117" s="394">
        <f t="shared" si="1"/>
        <v>8</v>
      </c>
      <c r="N117" s="35"/>
      <c r="O117" s="35"/>
      <c r="T117" s="35"/>
      <c r="U117" s="36"/>
      <c r="V117" s="36"/>
      <c r="W117" s="36"/>
    </row>
    <row r="118" spans="1:23" ht="13.5" thickTop="1" x14ac:dyDescent="0.2">
      <c r="A118" s="42" t="str">
        <f>'Ballot Entry'!A109</f>
        <v>2</v>
      </c>
      <c r="B118" s="43">
        <f>'Ballot Entry'!B109</f>
        <v>501</v>
      </c>
      <c r="C118" s="43" t="s">
        <v>285</v>
      </c>
      <c r="D118" s="44"/>
      <c r="E118" s="45"/>
      <c r="F118" s="44"/>
      <c r="G118" s="44"/>
      <c r="H118" s="44"/>
      <c r="I118" s="237" t="e">
        <f t="shared" si="0"/>
        <v>#N/A</v>
      </c>
      <c r="J118" s="44"/>
      <c r="K118" s="44"/>
      <c r="L118" s="44"/>
      <c r="M118" s="394" t="e">
        <f t="shared" si="1"/>
        <v>#N/A</v>
      </c>
      <c r="N118" s="35" t="e">
        <f>LARGE(I118:I120,3)&amp;","&amp;LARGE(I118:I120,2)&amp;","&amp;LARGE(I118:I120,1)</f>
        <v>#N/A</v>
      </c>
      <c r="O118" s="35" t="e">
        <f>LARGE(M118:M120,3)&amp;","&amp;LARGE(M118:M120,2)&amp;","&amp;LARGE(M118:M120,1)</f>
        <v>#N/A</v>
      </c>
    </row>
    <row r="119" spans="1:23" x14ac:dyDescent="0.2">
      <c r="A119" s="18" t="str">
        <f>A118</f>
        <v>2</v>
      </c>
      <c r="B119" s="45"/>
      <c r="C119" s="45"/>
      <c r="D119" s="45"/>
      <c r="E119" s="45"/>
      <c r="F119" s="46"/>
      <c r="G119" s="46"/>
      <c r="H119" s="46"/>
      <c r="I119" s="237" t="e">
        <f t="shared" si="0"/>
        <v>#N/A</v>
      </c>
      <c r="J119" s="46"/>
      <c r="K119" s="46"/>
      <c r="L119" s="46"/>
      <c r="M119" s="394" t="e">
        <f t="shared" si="1"/>
        <v>#N/A</v>
      </c>
    </row>
    <row r="120" spans="1:23" ht="13.5" thickBot="1" x14ac:dyDescent="0.25">
      <c r="A120" s="18" t="str">
        <f>A119</f>
        <v>2</v>
      </c>
      <c r="B120" s="45"/>
      <c r="E120" s="45"/>
      <c r="F120" s="47"/>
      <c r="G120" s="47"/>
      <c r="H120" s="47"/>
      <c r="I120" s="237" t="e">
        <f t="shared" si="0"/>
        <v>#N/A</v>
      </c>
      <c r="J120" s="47"/>
      <c r="K120" s="47"/>
      <c r="L120" s="47"/>
      <c r="M120" s="394" t="e">
        <f t="shared" si="1"/>
        <v>#N/A</v>
      </c>
    </row>
    <row r="121" spans="1:23" ht="13.5" thickTop="1" x14ac:dyDescent="0.2">
      <c r="A121" s="42" t="str">
        <f>'Ballot Entry'!A112</f>
        <v>2</v>
      </c>
      <c r="B121" s="43">
        <f>'Ballot Entry'!B112</f>
        <v>502</v>
      </c>
      <c r="C121" s="43" t="s">
        <v>285</v>
      </c>
      <c r="D121" s="48"/>
      <c r="E121" s="45"/>
      <c r="F121" s="48"/>
      <c r="G121" s="48"/>
      <c r="H121" s="48"/>
      <c r="I121" s="237" t="e">
        <f t="shared" ref="I121:I229" si="54">VLOOKUP(F121,Plookup,4,)</f>
        <v>#N/A</v>
      </c>
      <c r="J121" s="48"/>
      <c r="K121" s="48"/>
      <c r="L121" s="48"/>
      <c r="M121" s="394" t="e">
        <f t="shared" ref="M121:M229" si="55">VLOOKUP(J121,DLookup,4,)</f>
        <v>#N/A</v>
      </c>
      <c r="N121" s="35" t="e">
        <f>LARGE(I121:I123,3)&amp;","&amp;LARGE(I121:I123,2)&amp;","&amp;LARGE(I121:I123,1)</f>
        <v>#N/A</v>
      </c>
      <c r="O121" s="35" t="e">
        <f>LARGE(M121:M123,3)&amp;","&amp;LARGE(M121:M123,2)&amp;","&amp;LARGE(M121:M123,1)</f>
        <v>#N/A</v>
      </c>
    </row>
    <row r="122" spans="1:23" x14ac:dyDescent="0.2">
      <c r="A122" s="18" t="str">
        <f>A121</f>
        <v>2</v>
      </c>
      <c r="B122" s="45"/>
      <c r="C122" s="45"/>
      <c r="D122" s="45"/>
      <c r="E122" s="45"/>
      <c r="F122" s="49"/>
      <c r="G122" s="49"/>
      <c r="H122" s="49"/>
      <c r="I122" s="237" t="e">
        <f t="shared" si="54"/>
        <v>#N/A</v>
      </c>
      <c r="J122" s="49"/>
      <c r="K122" s="49"/>
      <c r="L122" s="49"/>
      <c r="M122" s="394" t="e">
        <f t="shared" si="55"/>
        <v>#N/A</v>
      </c>
    </row>
    <row r="123" spans="1:23" ht="13.5" thickBot="1" x14ac:dyDescent="0.25">
      <c r="A123" s="18" t="str">
        <f>A122</f>
        <v>2</v>
      </c>
      <c r="B123" s="45"/>
      <c r="E123" s="51"/>
      <c r="F123" s="50"/>
      <c r="G123" s="50"/>
      <c r="H123" s="50"/>
      <c r="I123" s="237" t="e">
        <f t="shared" si="54"/>
        <v>#N/A</v>
      </c>
      <c r="J123" s="50"/>
      <c r="K123" s="50"/>
      <c r="L123" s="50"/>
      <c r="M123" s="394" t="e">
        <f t="shared" si="55"/>
        <v>#N/A</v>
      </c>
    </row>
    <row r="124" spans="1:23" ht="13.5" thickTop="1" x14ac:dyDescent="0.2">
      <c r="A124" s="42" t="str">
        <f>'Ballot Entry'!A115</f>
        <v>2</v>
      </c>
      <c r="B124" s="43">
        <f>'Ballot Entry'!B115</f>
        <v>503</v>
      </c>
      <c r="C124" s="43" t="s">
        <v>285</v>
      </c>
      <c r="D124" s="44"/>
      <c r="E124" s="45"/>
      <c r="F124" s="44"/>
      <c r="G124" s="44"/>
      <c r="H124" s="44"/>
      <c r="I124" s="237" t="e">
        <f t="shared" si="54"/>
        <v>#N/A</v>
      </c>
      <c r="J124" s="44"/>
      <c r="K124" s="44"/>
      <c r="L124" s="44"/>
      <c r="M124" s="394" t="e">
        <f t="shared" si="55"/>
        <v>#N/A</v>
      </c>
      <c r="N124" s="35" t="e">
        <f>LARGE(I124:I126,3)&amp;","&amp;LARGE(I124:I126,2)&amp;","&amp;LARGE(I124:I126,1)</f>
        <v>#N/A</v>
      </c>
      <c r="O124" s="35" t="e">
        <f>LARGE(M124:M126,3)&amp;","&amp;LARGE(M124:M126,2)&amp;","&amp;LARGE(M124:M126,1)</f>
        <v>#N/A</v>
      </c>
    </row>
    <row r="125" spans="1:23" x14ac:dyDescent="0.2">
      <c r="A125" s="18" t="str">
        <f>A124</f>
        <v>2</v>
      </c>
      <c r="B125" s="45"/>
      <c r="C125" s="45"/>
      <c r="D125" s="45"/>
      <c r="E125" s="45"/>
      <c r="F125" s="46"/>
      <c r="G125" s="46"/>
      <c r="H125" s="46"/>
      <c r="I125" s="237" t="e">
        <f t="shared" si="54"/>
        <v>#N/A</v>
      </c>
      <c r="J125" s="46"/>
      <c r="K125" s="46"/>
      <c r="L125" s="46"/>
      <c r="M125" s="394" t="e">
        <f t="shared" si="55"/>
        <v>#N/A</v>
      </c>
    </row>
    <row r="126" spans="1:23" ht="13.5" thickBot="1" x14ac:dyDescent="0.25">
      <c r="A126" s="18" t="str">
        <f>A125</f>
        <v>2</v>
      </c>
      <c r="B126" s="45"/>
      <c r="E126" s="45"/>
      <c r="F126" s="47"/>
      <c r="G126" s="47"/>
      <c r="H126" s="47"/>
      <c r="I126" s="237" t="e">
        <f t="shared" si="54"/>
        <v>#N/A</v>
      </c>
      <c r="J126" s="47"/>
      <c r="K126" s="47"/>
      <c r="L126" s="47"/>
      <c r="M126" s="394" t="e">
        <f t="shared" si="55"/>
        <v>#N/A</v>
      </c>
    </row>
    <row r="127" spans="1:23" ht="13.5" thickTop="1" x14ac:dyDescent="0.2">
      <c r="A127" s="42" t="str">
        <f>'Ballot Entry'!A118</f>
        <v>2</v>
      </c>
      <c r="B127" s="43">
        <f>'Ballot Entry'!B118</f>
        <v>504</v>
      </c>
      <c r="C127" s="43" t="s">
        <v>285</v>
      </c>
      <c r="D127" s="48"/>
      <c r="E127" s="45"/>
      <c r="F127" s="48"/>
      <c r="G127" s="48"/>
      <c r="H127" s="48"/>
      <c r="I127" s="237" t="e">
        <f t="shared" si="54"/>
        <v>#N/A</v>
      </c>
      <c r="J127" s="48"/>
      <c r="K127" s="48"/>
      <c r="L127" s="48"/>
      <c r="M127" s="394" t="e">
        <f t="shared" si="55"/>
        <v>#N/A</v>
      </c>
      <c r="N127" s="35" t="e">
        <f>LARGE(I127:I129,3)&amp;","&amp;LARGE(I127:I129,2)&amp;","&amp;LARGE(I127:I129,1)</f>
        <v>#N/A</v>
      </c>
      <c r="O127" s="35" t="e">
        <f>LARGE(M127:M129,3)&amp;","&amp;LARGE(M127:M129,2)&amp;","&amp;LARGE(M127:M129,1)</f>
        <v>#N/A</v>
      </c>
    </row>
    <row r="128" spans="1:23" x14ac:dyDescent="0.2">
      <c r="A128" s="18" t="str">
        <f>A127</f>
        <v>2</v>
      </c>
      <c r="B128" s="45"/>
      <c r="C128" s="45"/>
      <c r="D128" s="45"/>
      <c r="E128" s="45"/>
      <c r="F128" s="49"/>
      <c r="G128" s="49"/>
      <c r="H128" s="49"/>
      <c r="I128" s="237" t="e">
        <f t="shared" si="54"/>
        <v>#N/A</v>
      </c>
      <c r="J128" s="49"/>
      <c r="K128" s="49"/>
      <c r="L128" s="49"/>
      <c r="M128" s="394" t="e">
        <f t="shared" si="55"/>
        <v>#N/A</v>
      </c>
    </row>
    <row r="129" spans="1:15" ht="13.5" thickBot="1" x14ac:dyDescent="0.25">
      <c r="A129" s="18" t="str">
        <f>A128</f>
        <v>2</v>
      </c>
      <c r="B129" s="45"/>
      <c r="E129" s="51"/>
      <c r="F129" s="50"/>
      <c r="G129" s="50"/>
      <c r="H129" s="50"/>
      <c r="I129" s="237" t="e">
        <f t="shared" si="54"/>
        <v>#N/A</v>
      </c>
      <c r="J129" s="50"/>
      <c r="K129" s="50"/>
      <c r="L129" s="50"/>
      <c r="M129" s="394" t="e">
        <f t="shared" si="55"/>
        <v>#N/A</v>
      </c>
    </row>
    <row r="130" spans="1:15" ht="13.5" thickTop="1" x14ac:dyDescent="0.2">
      <c r="A130" s="42" t="str">
        <f>'Ballot Entry'!A121</f>
        <v>2</v>
      </c>
      <c r="B130" s="43">
        <f>'Ballot Entry'!B121</f>
        <v>601</v>
      </c>
      <c r="C130" s="43" t="s">
        <v>285</v>
      </c>
      <c r="D130" s="44"/>
      <c r="E130" s="45"/>
      <c r="F130" s="44"/>
      <c r="G130" s="44"/>
      <c r="H130" s="44"/>
      <c r="I130" s="237" t="e">
        <f t="shared" si="54"/>
        <v>#N/A</v>
      </c>
      <c r="J130" s="44"/>
      <c r="K130" s="44"/>
      <c r="L130" s="44"/>
      <c r="M130" s="394" t="e">
        <f t="shared" si="55"/>
        <v>#N/A</v>
      </c>
      <c r="N130" s="35" t="e">
        <f>LARGE(I130:I132,3)&amp;","&amp;LARGE(I130:I132,2)&amp;","&amp;LARGE(I130:I132,1)</f>
        <v>#N/A</v>
      </c>
      <c r="O130" s="35" t="e">
        <f>LARGE(M130:M132,3)&amp;","&amp;LARGE(M130:M132,2)&amp;","&amp;LARGE(M130:M132,1)</f>
        <v>#N/A</v>
      </c>
    </row>
    <row r="131" spans="1:15" x14ac:dyDescent="0.2">
      <c r="A131" s="18" t="str">
        <f>A130</f>
        <v>2</v>
      </c>
      <c r="B131" s="45"/>
      <c r="C131" s="45"/>
      <c r="D131" s="45"/>
      <c r="E131" s="45"/>
      <c r="F131" s="46"/>
      <c r="G131" s="46"/>
      <c r="H131" s="46"/>
      <c r="I131" s="237" t="e">
        <f t="shared" si="54"/>
        <v>#N/A</v>
      </c>
      <c r="J131" s="46"/>
      <c r="K131" s="46"/>
      <c r="L131" s="46"/>
      <c r="M131" s="394" t="e">
        <f t="shared" si="55"/>
        <v>#N/A</v>
      </c>
    </row>
    <row r="132" spans="1:15" ht="13.5" thickBot="1" x14ac:dyDescent="0.25">
      <c r="A132" s="18" t="str">
        <f>A131</f>
        <v>2</v>
      </c>
      <c r="B132" s="45"/>
      <c r="E132" s="45"/>
      <c r="F132" s="47"/>
      <c r="G132" s="47"/>
      <c r="H132" s="47"/>
      <c r="I132" s="237" t="e">
        <f t="shared" si="54"/>
        <v>#N/A</v>
      </c>
      <c r="J132" s="47"/>
      <c r="K132" s="47"/>
      <c r="L132" s="47"/>
      <c r="M132" s="394" t="e">
        <f t="shared" si="55"/>
        <v>#N/A</v>
      </c>
    </row>
    <row r="133" spans="1:15" ht="13.5" thickTop="1" x14ac:dyDescent="0.2">
      <c r="A133" s="42" t="str">
        <f>'Ballot Entry'!A124</f>
        <v>2</v>
      </c>
      <c r="B133" s="43">
        <f>'Ballot Entry'!B124</f>
        <v>602</v>
      </c>
      <c r="C133" s="43" t="s">
        <v>285</v>
      </c>
      <c r="D133" s="48"/>
      <c r="E133" s="45"/>
      <c r="F133" s="48"/>
      <c r="G133" s="48"/>
      <c r="H133" s="48"/>
      <c r="I133" s="237" t="e">
        <f t="shared" si="54"/>
        <v>#N/A</v>
      </c>
      <c r="J133" s="48"/>
      <c r="K133" s="48"/>
      <c r="L133" s="48"/>
      <c r="M133" s="394" t="e">
        <f t="shared" si="55"/>
        <v>#N/A</v>
      </c>
      <c r="N133" s="35" t="e">
        <f>LARGE(I133:I135,3)&amp;","&amp;LARGE(I133:I135,2)&amp;","&amp;LARGE(I133:I135,1)</f>
        <v>#N/A</v>
      </c>
      <c r="O133" s="35" t="e">
        <f>LARGE(M133:M135,3)&amp;","&amp;LARGE(M133:M135,2)&amp;","&amp;LARGE(M133:M135,1)</f>
        <v>#N/A</v>
      </c>
    </row>
    <row r="134" spans="1:15" x14ac:dyDescent="0.2">
      <c r="A134" s="18" t="str">
        <f>A133</f>
        <v>2</v>
      </c>
      <c r="B134" s="45"/>
      <c r="C134" s="45"/>
      <c r="D134" s="45"/>
      <c r="E134" s="45"/>
      <c r="F134" s="49"/>
      <c r="G134" s="49"/>
      <c r="H134" s="49"/>
      <c r="I134" s="237" t="e">
        <f t="shared" si="54"/>
        <v>#N/A</v>
      </c>
      <c r="J134" s="49"/>
      <c r="K134" s="49"/>
      <c r="L134" s="49"/>
      <c r="M134" s="394" t="e">
        <f t="shared" si="55"/>
        <v>#N/A</v>
      </c>
    </row>
    <row r="135" spans="1:15" ht="13.5" thickBot="1" x14ac:dyDescent="0.25">
      <c r="A135" s="18" t="str">
        <f>A134</f>
        <v>2</v>
      </c>
      <c r="B135" s="45"/>
      <c r="E135" s="51"/>
      <c r="F135" s="50"/>
      <c r="G135" s="50"/>
      <c r="H135" s="50"/>
      <c r="I135" s="237" t="e">
        <f t="shared" si="54"/>
        <v>#N/A</v>
      </c>
      <c r="J135" s="50"/>
      <c r="K135" s="50"/>
      <c r="L135" s="50"/>
      <c r="M135" s="394" t="e">
        <f t="shared" si="55"/>
        <v>#N/A</v>
      </c>
    </row>
    <row r="136" spans="1:15" ht="13.5" thickTop="1" x14ac:dyDescent="0.2">
      <c r="A136" s="42" t="str">
        <f>'Ballot Entry'!A127</f>
        <v>2</v>
      </c>
      <c r="B136" s="43">
        <f>'Ballot Entry'!B127</f>
        <v>603</v>
      </c>
      <c r="C136" s="43" t="s">
        <v>285</v>
      </c>
      <c r="D136" s="44"/>
      <c r="E136" s="45"/>
      <c r="F136" s="44"/>
      <c r="G136" s="44"/>
      <c r="H136" s="44"/>
      <c r="I136" s="237" t="e">
        <f t="shared" si="54"/>
        <v>#N/A</v>
      </c>
      <c r="J136" s="44"/>
      <c r="K136" s="44"/>
      <c r="L136" s="44"/>
      <c r="M136" s="394" t="e">
        <f t="shared" si="55"/>
        <v>#N/A</v>
      </c>
      <c r="N136" s="35" t="e">
        <f>LARGE(I136:I138,3)&amp;","&amp;LARGE(I136:I138,2)&amp;","&amp;LARGE(I136:I138,1)</f>
        <v>#N/A</v>
      </c>
      <c r="O136" s="35" t="e">
        <f>LARGE(M136:M138,3)&amp;","&amp;LARGE(M136:M138,2)&amp;","&amp;LARGE(M136:M138,1)</f>
        <v>#N/A</v>
      </c>
    </row>
    <row r="137" spans="1:15" x14ac:dyDescent="0.2">
      <c r="A137" s="18" t="str">
        <f>A136</f>
        <v>2</v>
      </c>
      <c r="B137" s="45"/>
      <c r="C137" s="45"/>
      <c r="D137" s="45"/>
      <c r="E137" s="45"/>
      <c r="F137" s="46"/>
      <c r="G137" s="46"/>
      <c r="H137" s="46"/>
      <c r="I137" s="237" t="e">
        <f t="shared" si="54"/>
        <v>#N/A</v>
      </c>
      <c r="J137" s="46"/>
      <c r="K137" s="46"/>
      <c r="L137" s="46"/>
      <c r="M137" s="394" t="e">
        <f t="shared" si="55"/>
        <v>#N/A</v>
      </c>
    </row>
    <row r="138" spans="1:15" ht="13.5" thickBot="1" x14ac:dyDescent="0.25">
      <c r="A138" s="18" t="str">
        <f>A137</f>
        <v>2</v>
      </c>
      <c r="B138" s="45"/>
      <c r="E138" s="45"/>
      <c r="F138" s="47"/>
      <c r="G138" s="47"/>
      <c r="H138" s="47"/>
      <c r="I138" s="237" t="e">
        <f t="shared" si="54"/>
        <v>#N/A</v>
      </c>
      <c r="J138" s="47"/>
      <c r="K138" s="47"/>
      <c r="L138" s="47"/>
      <c r="M138" s="394" t="e">
        <f t="shared" si="55"/>
        <v>#N/A</v>
      </c>
    </row>
    <row r="139" spans="1:15" ht="13.5" thickTop="1" x14ac:dyDescent="0.2">
      <c r="A139" s="42" t="str">
        <f>'Ballot Entry'!A130</f>
        <v>2</v>
      </c>
      <c r="B139" s="43">
        <f>'Ballot Entry'!B130</f>
        <v>604</v>
      </c>
      <c r="C139" s="43" t="s">
        <v>285</v>
      </c>
      <c r="D139" s="48"/>
      <c r="E139" s="45"/>
      <c r="F139" s="48"/>
      <c r="G139" s="48"/>
      <c r="H139" s="48"/>
      <c r="I139" s="237" t="e">
        <f t="shared" si="54"/>
        <v>#N/A</v>
      </c>
      <c r="J139" s="48"/>
      <c r="K139" s="48"/>
      <c r="L139" s="48"/>
      <c r="M139" s="394" t="e">
        <f t="shared" si="55"/>
        <v>#N/A</v>
      </c>
      <c r="N139" s="35" t="e">
        <f>LARGE(I139:I141,3)&amp;","&amp;LARGE(I139:I141,2)&amp;","&amp;LARGE(I139:I141,1)</f>
        <v>#N/A</v>
      </c>
      <c r="O139" s="35" t="e">
        <f>LARGE(M139:M141,3)&amp;","&amp;LARGE(M139:M141,2)&amp;","&amp;LARGE(M139:M141,1)</f>
        <v>#N/A</v>
      </c>
    </row>
    <row r="140" spans="1:15" x14ac:dyDescent="0.2">
      <c r="A140" s="18" t="str">
        <f>A139</f>
        <v>2</v>
      </c>
      <c r="B140" s="45"/>
      <c r="C140" s="45"/>
      <c r="D140" s="45"/>
      <c r="E140" s="45"/>
      <c r="F140" s="49"/>
      <c r="G140" s="49"/>
      <c r="H140" s="49"/>
      <c r="I140" s="237" t="e">
        <f t="shared" si="54"/>
        <v>#N/A</v>
      </c>
      <c r="J140" s="49"/>
      <c r="K140" s="49"/>
      <c r="L140" s="49"/>
      <c r="M140" s="394" t="e">
        <f t="shared" si="55"/>
        <v>#N/A</v>
      </c>
    </row>
    <row r="141" spans="1:15" ht="13.5" thickBot="1" x14ac:dyDescent="0.25">
      <c r="A141" s="18" t="str">
        <f>A140</f>
        <v>2</v>
      </c>
      <c r="B141" s="45"/>
      <c r="E141" s="51"/>
      <c r="F141" s="50"/>
      <c r="G141" s="50"/>
      <c r="H141" s="50"/>
      <c r="I141" s="237" t="e">
        <f t="shared" si="54"/>
        <v>#N/A</v>
      </c>
      <c r="J141" s="50"/>
      <c r="K141" s="50"/>
      <c r="L141" s="50"/>
      <c r="M141" s="394" t="e">
        <f t="shared" si="55"/>
        <v>#N/A</v>
      </c>
    </row>
    <row r="142" spans="1:15" ht="13.5" thickTop="1" x14ac:dyDescent="0.2">
      <c r="A142" s="42" t="str">
        <f>'Ballot Entry'!A133</f>
        <v>2</v>
      </c>
      <c r="B142" s="43" t="str">
        <f>'Ballot Entry'!B133</f>
        <v>MCR - 7th</v>
      </c>
      <c r="C142" s="43" t="s">
        <v>285</v>
      </c>
      <c r="D142" s="44"/>
      <c r="E142" s="45"/>
      <c r="F142" s="44"/>
      <c r="G142" s="44"/>
      <c r="H142" s="44"/>
      <c r="I142" s="237" t="e">
        <f t="shared" si="54"/>
        <v>#N/A</v>
      </c>
      <c r="J142" s="44"/>
      <c r="K142" s="44"/>
      <c r="L142" s="44"/>
      <c r="M142" s="394" t="e">
        <f t="shared" si="55"/>
        <v>#N/A</v>
      </c>
      <c r="N142" s="35" t="e">
        <f>LARGE(I142:I144,3)&amp;","&amp;LARGE(I142:I144,2)&amp;","&amp;LARGE(I142:I144,1)</f>
        <v>#N/A</v>
      </c>
      <c r="O142" s="35" t="e">
        <f>LARGE(M142:M144,3)&amp;","&amp;LARGE(M142:M144,2)&amp;","&amp;LARGE(M142:M144,1)</f>
        <v>#N/A</v>
      </c>
    </row>
    <row r="143" spans="1:15" x14ac:dyDescent="0.2">
      <c r="A143" s="18" t="str">
        <f>A142</f>
        <v>2</v>
      </c>
      <c r="B143" s="45"/>
      <c r="C143" s="45"/>
      <c r="D143" s="45"/>
      <c r="E143" s="45"/>
      <c r="F143" s="46"/>
      <c r="G143" s="46"/>
      <c r="H143" s="46"/>
      <c r="I143" s="237" t="e">
        <f t="shared" si="54"/>
        <v>#N/A</v>
      </c>
      <c r="J143" s="46"/>
      <c r="K143" s="46"/>
      <c r="L143" s="46"/>
      <c r="M143" s="394" t="e">
        <f t="shared" si="55"/>
        <v>#N/A</v>
      </c>
    </row>
    <row r="144" spans="1:15" ht="13.5" thickBot="1" x14ac:dyDescent="0.25">
      <c r="A144" s="18" t="str">
        <f>A143</f>
        <v>2</v>
      </c>
      <c r="B144" s="45"/>
      <c r="E144" s="45"/>
      <c r="F144" s="47"/>
      <c r="G144" s="47"/>
      <c r="H144" s="47"/>
      <c r="I144" s="237" t="e">
        <f t="shared" si="54"/>
        <v>#N/A</v>
      </c>
      <c r="J144" s="47"/>
      <c r="K144" s="47"/>
      <c r="L144" s="47"/>
      <c r="M144" s="394" t="e">
        <f t="shared" si="55"/>
        <v>#N/A</v>
      </c>
    </row>
    <row r="145" spans="1:15" ht="13.5" thickTop="1" x14ac:dyDescent="0.2">
      <c r="A145" s="42" t="str">
        <f>'Ballot Entry'!A136</f>
        <v>Hide</v>
      </c>
      <c r="B145" s="43">
        <f>'Ballot Entry'!B136</f>
        <v>0</v>
      </c>
      <c r="C145" s="43" t="s">
        <v>285</v>
      </c>
      <c r="D145" s="48"/>
      <c r="E145" s="45"/>
      <c r="F145" s="48"/>
      <c r="G145" s="48"/>
      <c r="H145" s="48"/>
      <c r="I145" s="237" t="e">
        <f t="shared" si="54"/>
        <v>#N/A</v>
      </c>
      <c r="J145" s="48"/>
      <c r="K145" s="48"/>
      <c r="L145" s="48"/>
      <c r="M145" s="394" t="e">
        <f t="shared" si="55"/>
        <v>#N/A</v>
      </c>
      <c r="N145" s="35" t="e">
        <f>LARGE(I145:I147,3)&amp;","&amp;LARGE(I145:I147,2)&amp;","&amp;LARGE(I145:I147,1)</f>
        <v>#N/A</v>
      </c>
      <c r="O145" s="35" t="e">
        <f>LARGE(M145:M147,3)&amp;","&amp;LARGE(M145:M147,2)&amp;","&amp;LARGE(M145:M147,1)</f>
        <v>#N/A</v>
      </c>
    </row>
    <row r="146" spans="1:15" x14ac:dyDescent="0.2">
      <c r="A146" s="18" t="str">
        <f>A145</f>
        <v>Hide</v>
      </c>
      <c r="B146" s="45"/>
      <c r="C146" s="45"/>
      <c r="D146" s="45"/>
      <c r="E146" s="45"/>
      <c r="F146" s="49"/>
      <c r="G146" s="49"/>
      <c r="H146" s="49"/>
      <c r="I146" s="237" t="e">
        <f t="shared" si="54"/>
        <v>#N/A</v>
      </c>
      <c r="J146" s="49"/>
      <c r="K146" s="49"/>
      <c r="L146" s="49"/>
      <c r="M146" s="394" t="e">
        <f t="shared" si="55"/>
        <v>#N/A</v>
      </c>
    </row>
    <row r="147" spans="1:15" ht="13.5" thickBot="1" x14ac:dyDescent="0.25">
      <c r="A147" s="18" t="str">
        <f>A146</f>
        <v>Hide</v>
      </c>
      <c r="B147" s="45"/>
      <c r="E147" s="51"/>
      <c r="F147" s="50"/>
      <c r="G147" s="50"/>
      <c r="H147" s="50"/>
      <c r="I147" s="237" t="e">
        <f t="shared" si="54"/>
        <v>#N/A</v>
      </c>
      <c r="J147" s="50"/>
      <c r="K147" s="50"/>
      <c r="L147" s="50"/>
      <c r="M147" s="394" t="e">
        <f t="shared" si="55"/>
        <v>#N/A</v>
      </c>
    </row>
    <row r="148" spans="1:15" ht="13.5" thickTop="1" x14ac:dyDescent="0.2">
      <c r="A148" s="42" t="str">
        <f>'Ballot Entry'!A139</f>
        <v>Hide</v>
      </c>
      <c r="B148" s="43">
        <f>'Ballot Entry'!B139</f>
        <v>0</v>
      </c>
      <c r="C148" s="43" t="s">
        <v>285</v>
      </c>
      <c r="D148" s="44"/>
      <c r="E148" s="45"/>
      <c r="F148" s="44"/>
      <c r="G148" s="44"/>
      <c r="H148" s="44"/>
      <c r="I148" s="237" t="e">
        <f t="shared" si="54"/>
        <v>#N/A</v>
      </c>
      <c r="J148" s="44"/>
      <c r="K148" s="44"/>
      <c r="L148" s="44"/>
      <c r="M148" s="394" t="e">
        <f t="shared" si="55"/>
        <v>#N/A</v>
      </c>
      <c r="N148" s="35" t="e">
        <f>LARGE(I148:I150,3)&amp;","&amp;LARGE(I148:I150,2)&amp;","&amp;LARGE(I148:I150,1)</f>
        <v>#N/A</v>
      </c>
      <c r="O148" s="35" t="e">
        <f>LARGE(M148:M150,3)&amp;","&amp;LARGE(M148:M150,2)&amp;","&amp;LARGE(M148:M150,1)</f>
        <v>#N/A</v>
      </c>
    </row>
    <row r="149" spans="1:15" x14ac:dyDescent="0.2">
      <c r="A149" s="18" t="str">
        <f>A148</f>
        <v>Hide</v>
      </c>
      <c r="B149" s="45"/>
      <c r="C149" s="45"/>
      <c r="D149" s="45"/>
      <c r="E149" s="45"/>
      <c r="F149" s="46"/>
      <c r="G149" s="46"/>
      <c r="H149" s="46"/>
      <c r="I149" s="237" t="e">
        <f t="shared" si="54"/>
        <v>#N/A</v>
      </c>
      <c r="J149" s="46"/>
      <c r="K149" s="46"/>
      <c r="L149" s="46"/>
      <c r="M149" s="394" t="e">
        <f t="shared" si="55"/>
        <v>#N/A</v>
      </c>
    </row>
    <row r="150" spans="1:15" ht="13.5" thickBot="1" x14ac:dyDescent="0.25">
      <c r="A150" s="18" t="str">
        <f>A149</f>
        <v>Hide</v>
      </c>
      <c r="B150" s="45"/>
      <c r="E150" s="45"/>
      <c r="F150" s="47"/>
      <c r="G150" s="47"/>
      <c r="H150" s="47"/>
      <c r="I150" s="237" t="e">
        <f t="shared" si="54"/>
        <v>#N/A</v>
      </c>
      <c r="J150" s="47"/>
      <c r="K150" s="47"/>
      <c r="L150" s="47"/>
      <c r="M150" s="394" t="e">
        <f t="shared" si="55"/>
        <v>#N/A</v>
      </c>
    </row>
    <row r="151" spans="1:15" ht="13.5" thickTop="1" x14ac:dyDescent="0.2">
      <c r="A151" s="42" t="str">
        <f>'Ballot Entry'!A142</f>
        <v>Hide</v>
      </c>
      <c r="B151" s="43">
        <f>'Ballot Entry'!B142</f>
        <v>0</v>
      </c>
      <c r="C151" s="43" t="s">
        <v>285</v>
      </c>
      <c r="D151" s="48"/>
      <c r="E151" s="45"/>
      <c r="F151" s="48"/>
      <c r="G151" s="48"/>
      <c r="H151" s="48"/>
      <c r="I151" s="237" t="e">
        <f t="shared" si="54"/>
        <v>#N/A</v>
      </c>
      <c r="J151" s="48"/>
      <c r="K151" s="48"/>
      <c r="L151" s="48"/>
      <c r="M151" s="394" t="e">
        <f t="shared" si="55"/>
        <v>#N/A</v>
      </c>
      <c r="N151" s="35" t="e">
        <f>LARGE(I151:I153,3)&amp;","&amp;LARGE(I151:I153,2)&amp;","&amp;LARGE(I151:I153,1)</f>
        <v>#N/A</v>
      </c>
      <c r="O151" s="35" t="e">
        <f>LARGE(M151:M153,3)&amp;","&amp;LARGE(M151:M153,2)&amp;","&amp;LARGE(M151:M153,1)</f>
        <v>#N/A</v>
      </c>
    </row>
    <row r="152" spans="1:15" x14ac:dyDescent="0.2">
      <c r="A152" s="18" t="str">
        <f>A151</f>
        <v>Hide</v>
      </c>
      <c r="B152" s="45"/>
      <c r="C152" s="45"/>
      <c r="D152" s="45"/>
      <c r="E152" s="45"/>
      <c r="F152" s="49"/>
      <c r="G152" s="49"/>
      <c r="H152" s="49"/>
      <c r="I152" s="237" t="e">
        <f t="shared" si="54"/>
        <v>#N/A</v>
      </c>
      <c r="J152" s="49"/>
      <c r="K152" s="49"/>
      <c r="L152" s="49"/>
      <c r="M152" s="394" t="e">
        <f t="shared" si="55"/>
        <v>#N/A</v>
      </c>
    </row>
    <row r="153" spans="1:15" ht="13.5" thickBot="1" x14ac:dyDescent="0.25">
      <c r="A153" s="18" t="str">
        <f>A152</f>
        <v>Hide</v>
      </c>
      <c r="B153" s="45"/>
      <c r="E153" s="51"/>
      <c r="F153" s="50"/>
      <c r="G153" s="50"/>
      <c r="H153" s="50"/>
      <c r="I153" s="237" t="e">
        <f t="shared" si="54"/>
        <v>#N/A</v>
      </c>
      <c r="J153" s="50"/>
      <c r="K153" s="50"/>
      <c r="L153" s="50"/>
      <c r="M153" s="394" t="e">
        <f t="shared" si="55"/>
        <v>#N/A</v>
      </c>
    </row>
    <row r="154" spans="1:15" ht="13.5" thickTop="1" x14ac:dyDescent="0.2">
      <c r="A154" s="42" t="str">
        <f>'Ballot Entry'!A145</f>
        <v>Hide</v>
      </c>
      <c r="B154" s="43">
        <f>'Ballot Entry'!B145</f>
        <v>0</v>
      </c>
      <c r="C154" s="43" t="s">
        <v>285</v>
      </c>
      <c r="D154" s="44"/>
      <c r="E154" s="45"/>
      <c r="F154" s="44"/>
      <c r="G154" s="44"/>
      <c r="H154" s="44"/>
      <c r="I154" s="237" t="e">
        <f t="shared" si="54"/>
        <v>#N/A</v>
      </c>
      <c r="J154" s="44"/>
      <c r="K154" s="44"/>
      <c r="L154" s="44"/>
      <c r="M154" s="394" t="e">
        <f t="shared" si="55"/>
        <v>#N/A</v>
      </c>
      <c r="N154" s="35" t="e">
        <f>LARGE(I154:I156,3)&amp;","&amp;LARGE(I154:I156,2)&amp;","&amp;LARGE(I154:I156,1)</f>
        <v>#N/A</v>
      </c>
      <c r="O154" s="35" t="e">
        <f>LARGE(M154:M156,3)&amp;","&amp;LARGE(M154:M156,2)&amp;","&amp;LARGE(M154:M156,1)</f>
        <v>#N/A</v>
      </c>
    </row>
    <row r="155" spans="1:15" x14ac:dyDescent="0.2">
      <c r="A155" s="18" t="str">
        <f>A154</f>
        <v>Hide</v>
      </c>
      <c r="B155" s="45"/>
      <c r="C155" s="45"/>
      <c r="D155" s="45"/>
      <c r="E155" s="45"/>
      <c r="F155" s="46"/>
      <c r="G155" s="46"/>
      <c r="H155" s="46"/>
      <c r="I155" s="237" t="e">
        <f t="shared" si="54"/>
        <v>#N/A</v>
      </c>
      <c r="J155" s="46"/>
      <c r="K155" s="46"/>
      <c r="L155" s="46"/>
      <c r="M155" s="394" t="e">
        <f t="shared" si="55"/>
        <v>#N/A</v>
      </c>
    </row>
    <row r="156" spans="1:15" ht="13.5" thickBot="1" x14ac:dyDescent="0.25">
      <c r="A156" s="18" t="str">
        <f>A155</f>
        <v>Hide</v>
      </c>
      <c r="B156" s="45"/>
      <c r="E156" s="45"/>
      <c r="F156" s="47"/>
      <c r="G156" s="47"/>
      <c r="H156" s="47"/>
      <c r="I156" s="237" t="e">
        <f t="shared" si="54"/>
        <v>#N/A</v>
      </c>
      <c r="J156" s="47"/>
      <c r="K156" s="47"/>
      <c r="L156" s="47"/>
      <c r="M156" s="394" t="e">
        <f t="shared" si="55"/>
        <v>#N/A</v>
      </c>
    </row>
    <row r="157" spans="1:15" ht="13.5" thickTop="1" x14ac:dyDescent="0.2">
      <c r="A157" s="42" t="str">
        <f>'Ballot Entry'!A148</f>
        <v>Hide</v>
      </c>
      <c r="B157" s="43">
        <f>'Ballot Entry'!B148</f>
        <v>0</v>
      </c>
      <c r="C157" s="43" t="s">
        <v>285</v>
      </c>
      <c r="D157" s="48"/>
      <c r="E157" s="45"/>
      <c r="F157" s="48"/>
      <c r="G157" s="48"/>
      <c r="H157" s="48"/>
      <c r="I157" s="237" t="e">
        <f t="shared" si="54"/>
        <v>#N/A</v>
      </c>
      <c r="J157" s="48"/>
      <c r="K157" s="48"/>
      <c r="L157" s="48"/>
      <c r="M157" s="394" t="e">
        <f t="shared" si="55"/>
        <v>#N/A</v>
      </c>
      <c r="N157" s="35" t="e">
        <f>LARGE(I157:I159,3)&amp;","&amp;LARGE(I157:I159,2)&amp;","&amp;LARGE(I157:I159,1)</f>
        <v>#N/A</v>
      </c>
      <c r="O157" s="35" t="e">
        <f>LARGE(M157:M159,3)&amp;","&amp;LARGE(M157:M159,2)&amp;","&amp;LARGE(M157:M159,1)</f>
        <v>#N/A</v>
      </c>
    </row>
    <row r="158" spans="1:15" x14ac:dyDescent="0.2">
      <c r="A158" s="18" t="str">
        <f>A157</f>
        <v>Hide</v>
      </c>
      <c r="B158" s="45"/>
      <c r="C158" s="45"/>
      <c r="D158" s="45"/>
      <c r="E158" s="45"/>
      <c r="F158" s="49"/>
      <c r="G158" s="49"/>
      <c r="H158" s="49"/>
      <c r="I158" s="237" t="e">
        <f t="shared" si="54"/>
        <v>#N/A</v>
      </c>
      <c r="J158" s="49"/>
      <c r="K158" s="49"/>
      <c r="L158" s="49"/>
      <c r="M158" s="394" t="e">
        <f t="shared" si="55"/>
        <v>#N/A</v>
      </c>
    </row>
    <row r="159" spans="1:15" ht="13.5" thickBot="1" x14ac:dyDescent="0.25">
      <c r="A159" s="18" t="str">
        <f>A158</f>
        <v>Hide</v>
      </c>
      <c r="B159" s="45"/>
      <c r="E159" s="51"/>
      <c r="F159" s="50"/>
      <c r="G159" s="50"/>
      <c r="H159" s="50"/>
      <c r="I159" s="237" t="e">
        <f t="shared" si="54"/>
        <v>#N/A</v>
      </c>
      <c r="J159" s="50"/>
      <c r="K159" s="50"/>
      <c r="L159" s="50"/>
      <c r="M159" s="394" t="e">
        <f t="shared" si="55"/>
        <v>#N/A</v>
      </c>
    </row>
    <row r="160" spans="1:15" ht="13.5" thickTop="1" x14ac:dyDescent="0.2">
      <c r="A160" s="42" t="str">
        <f>'Ballot Entry'!A151</f>
        <v>Hide</v>
      </c>
      <c r="B160" s="43">
        <f>'Ballot Entry'!B151</f>
        <v>0</v>
      </c>
      <c r="C160" s="43" t="s">
        <v>285</v>
      </c>
      <c r="D160" s="44"/>
      <c r="E160" s="45"/>
      <c r="F160" s="44"/>
      <c r="G160" s="44"/>
      <c r="H160" s="44"/>
      <c r="I160" s="237" t="e">
        <f t="shared" si="54"/>
        <v>#N/A</v>
      </c>
      <c r="J160" s="44"/>
      <c r="K160" s="44"/>
      <c r="L160" s="44"/>
      <c r="M160" s="394" t="e">
        <f t="shared" si="55"/>
        <v>#N/A</v>
      </c>
      <c r="N160" s="35" t="e">
        <f>LARGE(I160:I162,3)&amp;","&amp;LARGE(I160:I162,2)&amp;","&amp;LARGE(I160:I162,1)</f>
        <v>#N/A</v>
      </c>
      <c r="O160" s="35" t="e">
        <f>LARGE(M160:M162,3)&amp;","&amp;LARGE(M160:M162,2)&amp;","&amp;LARGE(M160:M162,1)</f>
        <v>#N/A</v>
      </c>
    </row>
    <row r="161" spans="1:15" x14ac:dyDescent="0.2">
      <c r="A161" s="18" t="str">
        <f>A160</f>
        <v>Hide</v>
      </c>
      <c r="B161" s="45"/>
      <c r="C161" s="45"/>
      <c r="D161" s="45"/>
      <c r="E161" s="45"/>
      <c r="F161" s="46"/>
      <c r="G161" s="46"/>
      <c r="H161" s="46"/>
      <c r="I161" s="237" t="e">
        <f t="shared" si="54"/>
        <v>#N/A</v>
      </c>
      <c r="J161" s="46"/>
      <c r="K161" s="46"/>
      <c r="L161" s="46"/>
      <c r="M161" s="394" t="e">
        <f t="shared" si="55"/>
        <v>#N/A</v>
      </c>
    </row>
    <row r="162" spans="1:15" ht="13.5" thickBot="1" x14ac:dyDescent="0.25">
      <c r="A162" s="18" t="str">
        <f>A161</f>
        <v>Hide</v>
      </c>
      <c r="B162" s="45"/>
      <c r="E162" s="45"/>
      <c r="F162" s="47"/>
      <c r="G162" s="47"/>
      <c r="H162" s="47"/>
      <c r="I162" s="237" t="e">
        <f t="shared" si="54"/>
        <v>#N/A</v>
      </c>
      <c r="J162" s="47"/>
      <c r="K162" s="47"/>
      <c r="L162" s="47"/>
      <c r="M162" s="394" t="e">
        <f t="shared" si="55"/>
        <v>#N/A</v>
      </c>
    </row>
    <row r="163" spans="1:15" ht="13.5" thickTop="1" x14ac:dyDescent="0.2">
      <c r="A163" s="42" t="str">
        <f>'Ballot Entry'!A154</f>
        <v>Hide</v>
      </c>
      <c r="B163" s="43">
        <f>'Ballot Entry'!B154</f>
        <v>0</v>
      </c>
      <c r="C163" s="43" t="s">
        <v>285</v>
      </c>
      <c r="D163" s="48"/>
      <c r="E163" s="45"/>
      <c r="F163" s="48"/>
      <c r="G163" s="48"/>
      <c r="H163" s="48"/>
      <c r="I163" s="237" t="e">
        <f t="shared" si="54"/>
        <v>#N/A</v>
      </c>
      <c r="J163" s="48"/>
      <c r="K163" s="48"/>
      <c r="L163" s="48"/>
      <c r="M163" s="394" t="e">
        <f t="shared" si="55"/>
        <v>#N/A</v>
      </c>
      <c r="N163" s="35" t="e">
        <f>LARGE(I163:I165,3)&amp;","&amp;LARGE(I163:I165,2)&amp;","&amp;LARGE(I163:I165,1)</f>
        <v>#N/A</v>
      </c>
      <c r="O163" s="35" t="e">
        <f>LARGE(M163:M165,3)&amp;","&amp;LARGE(M163:M165,2)&amp;","&amp;LARGE(M163:M165,1)</f>
        <v>#N/A</v>
      </c>
    </row>
    <row r="164" spans="1:15" x14ac:dyDescent="0.2">
      <c r="A164" s="18" t="str">
        <f>A163</f>
        <v>Hide</v>
      </c>
      <c r="B164" s="45"/>
      <c r="C164" s="45"/>
      <c r="D164" s="45"/>
      <c r="E164" s="45"/>
      <c r="F164" s="49"/>
      <c r="G164" s="49"/>
      <c r="H164" s="49"/>
      <c r="I164" s="237" t="e">
        <f t="shared" si="54"/>
        <v>#N/A</v>
      </c>
      <c r="J164" s="49"/>
      <c r="K164" s="49"/>
      <c r="L164" s="49"/>
      <c r="M164" s="394" t="e">
        <f t="shared" si="55"/>
        <v>#N/A</v>
      </c>
    </row>
    <row r="165" spans="1:15" ht="13.5" thickBot="1" x14ac:dyDescent="0.25">
      <c r="A165" s="18" t="str">
        <f>A164</f>
        <v>Hide</v>
      </c>
      <c r="B165" s="45"/>
      <c r="E165" s="51"/>
      <c r="F165" s="50"/>
      <c r="G165" s="50"/>
      <c r="H165" s="50"/>
      <c r="I165" s="237" t="e">
        <f t="shared" si="54"/>
        <v>#N/A</v>
      </c>
      <c r="J165" s="50"/>
      <c r="K165" s="50"/>
      <c r="L165" s="50"/>
      <c r="M165" s="394" t="e">
        <f t="shared" si="55"/>
        <v>#N/A</v>
      </c>
    </row>
    <row r="166" spans="1:15" ht="13.5" thickTop="1" x14ac:dyDescent="0.2">
      <c r="A166" s="42" t="str">
        <f>'Ballot Entry'!A157</f>
        <v>Hide</v>
      </c>
      <c r="B166" s="43">
        <f>'Ballot Entry'!B157</f>
        <v>0</v>
      </c>
      <c r="C166" s="43" t="s">
        <v>285</v>
      </c>
      <c r="D166" s="44"/>
      <c r="E166" s="45"/>
      <c r="F166" s="44"/>
      <c r="G166" s="44"/>
      <c r="H166" s="44"/>
      <c r="I166" s="237" t="e">
        <f t="shared" si="54"/>
        <v>#N/A</v>
      </c>
      <c r="J166" s="44"/>
      <c r="K166" s="44"/>
      <c r="L166" s="44"/>
      <c r="M166" s="394" t="e">
        <f t="shared" si="55"/>
        <v>#N/A</v>
      </c>
      <c r="N166" s="35" t="e">
        <f>LARGE(I166:I168,3)&amp;","&amp;LARGE(I166:I168,2)&amp;","&amp;LARGE(I166:I168,1)</f>
        <v>#N/A</v>
      </c>
      <c r="O166" s="35" t="e">
        <f>LARGE(M166:M168,3)&amp;","&amp;LARGE(M166:M168,2)&amp;","&amp;LARGE(M166:M168,1)</f>
        <v>#N/A</v>
      </c>
    </row>
    <row r="167" spans="1:15" x14ac:dyDescent="0.2">
      <c r="A167" s="18" t="str">
        <f>A166</f>
        <v>Hide</v>
      </c>
      <c r="B167" s="45"/>
      <c r="C167" s="45"/>
      <c r="D167" s="45"/>
      <c r="E167" s="45"/>
      <c r="F167" s="46"/>
      <c r="G167" s="46"/>
      <c r="H167" s="46"/>
      <c r="I167" s="237" t="e">
        <f t="shared" si="54"/>
        <v>#N/A</v>
      </c>
      <c r="J167" s="46"/>
      <c r="K167" s="46"/>
      <c r="L167" s="46"/>
      <c r="M167" s="394" t="e">
        <f t="shared" si="55"/>
        <v>#N/A</v>
      </c>
    </row>
    <row r="168" spans="1:15" ht="13.5" thickBot="1" x14ac:dyDescent="0.25">
      <c r="A168" s="18" t="str">
        <f>A167</f>
        <v>Hide</v>
      </c>
      <c r="B168" s="45"/>
      <c r="E168" s="45"/>
      <c r="F168" s="47"/>
      <c r="G168" s="47"/>
      <c r="H168" s="47"/>
      <c r="I168" s="237" t="e">
        <f t="shared" si="54"/>
        <v>#N/A</v>
      </c>
      <c r="J168" s="47"/>
      <c r="K168" s="47"/>
      <c r="L168" s="47"/>
      <c r="M168" s="394" t="e">
        <f t="shared" si="55"/>
        <v>#N/A</v>
      </c>
    </row>
    <row r="169" spans="1:15" ht="13.5" thickTop="1" x14ac:dyDescent="0.2">
      <c r="A169" s="42" t="str">
        <f>'Ballot Entry'!A160</f>
        <v>Hide</v>
      </c>
      <c r="B169" s="43">
        <f>'Ballot Entry'!B160</f>
        <v>0</v>
      </c>
      <c r="C169" s="43" t="s">
        <v>285</v>
      </c>
      <c r="D169" s="48"/>
      <c r="E169" s="45"/>
      <c r="F169" s="48"/>
      <c r="G169" s="48"/>
      <c r="H169" s="48"/>
      <c r="I169" s="237" t="e">
        <f t="shared" si="54"/>
        <v>#N/A</v>
      </c>
      <c r="J169" s="48"/>
      <c r="K169" s="48"/>
      <c r="L169" s="48"/>
      <c r="M169" s="394" t="e">
        <f t="shared" si="55"/>
        <v>#N/A</v>
      </c>
      <c r="N169" s="35" t="e">
        <f>LARGE(I169:I171,3)&amp;","&amp;LARGE(I169:I171,2)&amp;","&amp;LARGE(I169:I171,1)</f>
        <v>#N/A</v>
      </c>
      <c r="O169" s="35" t="e">
        <f>LARGE(M169:M171,3)&amp;","&amp;LARGE(M169:M171,2)&amp;","&amp;LARGE(M169:M171,1)</f>
        <v>#N/A</v>
      </c>
    </row>
    <row r="170" spans="1:15" x14ac:dyDescent="0.2">
      <c r="A170" s="18" t="str">
        <f>A169</f>
        <v>Hide</v>
      </c>
      <c r="B170" s="45"/>
      <c r="C170" s="45"/>
      <c r="D170" s="45"/>
      <c r="E170" s="45"/>
      <c r="F170" s="49"/>
      <c r="G170" s="49"/>
      <c r="H170" s="49"/>
      <c r="I170" s="237" t="e">
        <f t="shared" si="54"/>
        <v>#N/A</v>
      </c>
      <c r="J170" s="49"/>
      <c r="K170" s="49"/>
      <c r="L170" s="49"/>
      <c r="M170" s="394" t="e">
        <f t="shared" si="55"/>
        <v>#N/A</v>
      </c>
    </row>
    <row r="171" spans="1:15" ht="13.5" thickBot="1" x14ac:dyDescent="0.25">
      <c r="A171" s="18" t="str">
        <f>A170</f>
        <v>Hide</v>
      </c>
      <c r="B171" s="45"/>
      <c r="E171" s="51"/>
      <c r="F171" s="50"/>
      <c r="G171" s="50"/>
      <c r="H171" s="50"/>
      <c r="I171" s="237" t="e">
        <f t="shared" si="54"/>
        <v>#N/A</v>
      </c>
      <c r="J171" s="50"/>
      <c r="K171" s="50"/>
      <c r="L171" s="50"/>
      <c r="M171" s="394" t="e">
        <f t="shared" si="55"/>
        <v>#N/A</v>
      </c>
    </row>
    <row r="172" spans="1:15" ht="13.5" thickTop="1" x14ac:dyDescent="0.2">
      <c r="A172" s="42" t="str">
        <f>'Ballot Entry'!A163</f>
        <v>Hide</v>
      </c>
      <c r="B172" s="43">
        <f>'Ballot Entry'!B163</f>
        <v>0</v>
      </c>
      <c r="C172" s="43" t="s">
        <v>285</v>
      </c>
      <c r="D172" s="44"/>
      <c r="E172" s="45"/>
      <c r="F172" s="44"/>
      <c r="G172" s="44"/>
      <c r="H172" s="44"/>
      <c r="I172" s="237" t="e">
        <f t="shared" si="54"/>
        <v>#N/A</v>
      </c>
      <c r="J172" s="44"/>
      <c r="K172" s="44"/>
      <c r="L172" s="44"/>
      <c r="M172" s="394" t="e">
        <f t="shared" si="55"/>
        <v>#N/A</v>
      </c>
      <c r="N172" s="35" t="e">
        <f>LARGE(I172:I174,3)&amp;","&amp;LARGE(I172:I174,2)&amp;","&amp;LARGE(I172:I174,1)</f>
        <v>#N/A</v>
      </c>
      <c r="O172" s="35" t="e">
        <f>LARGE(M172:M174,3)&amp;","&amp;LARGE(M172:M174,2)&amp;","&amp;LARGE(M172:M174,1)</f>
        <v>#N/A</v>
      </c>
    </row>
    <row r="173" spans="1:15" x14ac:dyDescent="0.2">
      <c r="A173" s="18" t="str">
        <f>A172</f>
        <v>Hide</v>
      </c>
      <c r="B173" s="45"/>
      <c r="C173" s="45"/>
      <c r="D173" s="45"/>
      <c r="E173" s="45"/>
      <c r="F173" s="46"/>
      <c r="G173" s="46"/>
      <c r="H173" s="46"/>
      <c r="I173" s="237" t="e">
        <f t="shared" si="54"/>
        <v>#N/A</v>
      </c>
      <c r="J173" s="46"/>
      <c r="K173" s="46"/>
      <c r="L173" s="46"/>
      <c r="M173" s="394" t="e">
        <f t="shared" si="55"/>
        <v>#N/A</v>
      </c>
    </row>
    <row r="174" spans="1:15" ht="13.5" thickBot="1" x14ac:dyDescent="0.25">
      <c r="A174" s="18" t="str">
        <f>A173</f>
        <v>Hide</v>
      </c>
      <c r="B174" s="45"/>
      <c r="E174" s="45"/>
      <c r="F174" s="47"/>
      <c r="G174" s="47"/>
      <c r="H174" s="47"/>
      <c r="I174" s="237" t="e">
        <f t="shared" si="54"/>
        <v>#N/A</v>
      </c>
      <c r="J174" s="47"/>
      <c r="K174" s="47"/>
      <c r="L174" s="47"/>
      <c r="M174" s="394" t="e">
        <f t="shared" si="55"/>
        <v>#N/A</v>
      </c>
    </row>
    <row r="175" spans="1:15" ht="13.5" thickTop="1" x14ac:dyDescent="0.2">
      <c r="A175" s="42" t="str">
        <f>'Ballot Entry'!A166</f>
        <v>Hide</v>
      </c>
      <c r="B175" s="43">
        <f>'Ballot Entry'!B166</f>
        <v>0</v>
      </c>
      <c r="C175" s="43" t="s">
        <v>285</v>
      </c>
      <c r="D175" s="48"/>
      <c r="E175" s="45"/>
      <c r="F175" s="48"/>
      <c r="G175" s="48"/>
      <c r="H175" s="48"/>
      <c r="I175" s="237" t="e">
        <f t="shared" ref="I175:I222" si="56">VLOOKUP(F175,Plookup,4,)</f>
        <v>#N/A</v>
      </c>
      <c r="J175" s="48"/>
      <c r="K175" s="48"/>
      <c r="L175" s="48"/>
      <c r="M175" s="394" t="e">
        <f t="shared" si="55"/>
        <v>#N/A</v>
      </c>
      <c r="N175" s="35" t="e">
        <f>LARGE(I175:I177,3)&amp;","&amp;LARGE(I175:I177,2)&amp;","&amp;LARGE(I175:I177,1)</f>
        <v>#N/A</v>
      </c>
      <c r="O175" s="35" t="e">
        <f>LARGE(M175:M177,3)&amp;","&amp;LARGE(M175:M177,2)&amp;","&amp;LARGE(M175:M177,1)</f>
        <v>#N/A</v>
      </c>
    </row>
    <row r="176" spans="1:15" x14ac:dyDescent="0.2">
      <c r="A176" s="18" t="str">
        <f t="shared" ref="A176:A177" si="57">A175</f>
        <v>Hide</v>
      </c>
      <c r="B176" s="45"/>
      <c r="C176" s="45"/>
      <c r="D176" s="45"/>
      <c r="E176" s="45"/>
      <c r="F176" s="49"/>
      <c r="G176" s="49"/>
      <c r="H176" s="49"/>
      <c r="I176" s="237" t="e">
        <f t="shared" si="56"/>
        <v>#N/A</v>
      </c>
      <c r="J176" s="49"/>
      <c r="K176" s="49"/>
      <c r="L176" s="49"/>
      <c r="M176" s="394" t="e">
        <f t="shared" si="55"/>
        <v>#N/A</v>
      </c>
    </row>
    <row r="177" spans="1:15" ht="13.5" thickBot="1" x14ac:dyDescent="0.25">
      <c r="A177" s="18" t="str">
        <f t="shared" si="57"/>
        <v>Hide</v>
      </c>
      <c r="B177" s="45"/>
      <c r="E177" s="51"/>
      <c r="F177" s="50"/>
      <c r="G177" s="50"/>
      <c r="H177" s="50"/>
      <c r="I177" s="237" t="e">
        <f t="shared" si="56"/>
        <v>#N/A</v>
      </c>
      <c r="J177" s="50"/>
      <c r="K177" s="50"/>
      <c r="L177" s="50"/>
      <c r="M177" s="394" t="e">
        <f t="shared" si="55"/>
        <v>#N/A</v>
      </c>
    </row>
    <row r="178" spans="1:15" ht="13.5" thickTop="1" x14ac:dyDescent="0.2">
      <c r="A178" s="42" t="str">
        <f>'Ballot Entry'!A169</f>
        <v>Hide</v>
      </c>
      <c r="B178" s="43">
        <f>'Ballot Entry'!B169</f>
        <v>0</v>
      </c>
      <c r="C178" s="43" t="s">
        <v>285</v>
      </c>
      <c r="D178" s="44"/>
      <c r="E178" s="45"/>
      <c r="F178" s="44"/>
      <c r="G178" s="44"/>
      <c r="H178" s="44"/>
      <c r="I178" s="237" t="e">
        <f t="shared" si="56"/>
        <v>#N/A</v>
      </c>
      <c r="J178" s="44"/>
      <c r="K178" s="44"/>
      <c r="L178" s="44"/>
      <c r="M178" s="394" t="e">
        <f t="shared" ref="M178:M222" si="58">VLOOKUP(J178,DLookup,4,)</f>
        <v>#N/A</v>
      </c>
      <c r="N178" s="35" t="e">
        <f t="shared" ref="N178" si="59">LARGE(I178:I180,3)&amp;","&amp;LARGE(I178:I180,2)&amp;","&amp;LARGE(I178:I180,1)</f>
        <v>#N/A</v>
      </c>
      <c r="O178" s="35" t="e">
        <f t="shared" ref="O178" si="60">LARGE(M178:M180,3)&amp;","&amp;LARGE(M178:M180,2)&amp;","&amp;LARGE(M178:M180,1)</f>
        <v>#N/A</v>
      </c>
    </row>
    <row r="179" spans="1:15" x14ac:dyDescent="0.2">
      <c r="A179" s="18" t="str">
        <f t="shared" ref="A179:A180" si="61">A178</f>
        <v>Hide</v>
      </c>
      <c r="B179" s="45"/>
      <c r="C179" s="45"/>
      <c r="D179" s="45"/>
      <c r="E179" s="45"/>
      <c r="F179" s="46"/>
      <c r="G179" s="46"/>
      <c r="H179" s="46"/>
      <c r="I179" s="237" t="e">
        <f t="shared" si="56"/>
        <v>#N/A</v>
      </c>
      <c r="J179" s="46"/>
      <c r="K179" s="46"/>
      <c r="L179" s="46"/>
      <c r="M179" s="394" t="e">
        <f t="shared" si="58"/>
        <v>#N/A</v>
      </c>
    </row>
    <row r="180" spans="1:15" ht="13.5" thickBot="1" x14ac:dyDescent="0.25">
      <c r="A180" s="18" t="str">
        <f t="shared" si="61"/>
        <v>Hide</v>
      </c>
      <c r="B180" s="45"/>
      <c r="E180" s="45"/>
      <c r="F180" s="47"/>
      <c r="G180" s="47"/>
      <c r="H180" s="47"/>
      <c r="I180" s="237" t="e">
        <f t="shared" si="56"/>
        <v>#N/A</v>
      </c>
      <c r="J180" s="47"/>
      <c r="K180" s="47"/>
      <c r="L180" s="47"/>
      <c r="M180" s="394" t="e">
        <f t="shared" si="58"/>
        <v>#N/A</v>
      </c>
    </row>
    <row r="181" spans="1:15" ht="13.5" thickTop="1" x14ac:dyDescent="0.2">
      <c r="A181" s="42" t="str">
        <f>'Ballot Entry'!A172</f>
        <v>Hide</v>
      </c>
      <c r="B181" s="43">
        <f>'Ballot Entry'!B172</f>
        <v>0</v>
      </c>
      <c r="C181" s="43" t="s">
        <v>285</v>
      </c>
      <c r="D181" s="48"/>
      <c r="E181" s="45"/>
      <c r="F181" s="48"/>
      <c r="G181" s="48"/>
      <c r="H181" s="48"/>
      <c r="I181" s="237" t="e">
        <f t="shared" si="56"/>
        <v>#N/A</v>
      </c>
      <c r="J181" s="48"/>
      <c r="K181" s="48"/>
      <c r="L181" s="48"/>
      <c r="M181" s="394" t="e">
        <f t="shared" si="58"/>
        <v>#N/A</v>
      </c>
      <c r="N181" s="35" t="e">
        <f t="shared" ref="N181" si="62">LARGE(I181:I183,3)&amp;","&amp;LARGE(I181:I183,2)&amp;","&amp;LARGE(I181:I183,1)</f>
        <v>#N/A</v>
      </c>
      <c r="O181" s="35" t="e">
        <f t="shared" ref="O181" si="63">LARGE(M181:M183,3)&amp;","&amp;LARGE(M181:M183,2)&amp;","&amp;LARGE(M181:M183,1)</f>
        <v>#N/A</v>
      </c>
    </row>
    <row r="182" spans="1:15" x14ac:dyDescent="0.2">
      <c r="A182" s="18" t="str">
        <f t="shared" ref="A182:A183" si="64">A181</f>
        <v>Hide</v>
      </c>
      <c r="B182" s="45"/>
      <c r="C182" s="45"/>
      <c r="D182" s="45"/>
      <c r="E182" s="45"/>
      <c r="F182" s="49"/>
      <c r="G182" s="49"/>
      <c r="H182" s="49"/>
      <c r="I182" s="237" t="e">
        <f t="shared" si="56"/>
        <v>#N/A</v>
      </c>
      <c r="J182" s="49"/>
      <c r="K182" s="49"/>
      <c r="L182" s="49"/>
      <c r="M182" s="394" t="e">
        <f t="shared" si="58"/>
        <v>#N/A</v>
      </c>
    </row>
    <row r="183" spans="1:15" ht="13.5" thickBot="1" x14ac:dyDescent="0.25">
      <c r="A183" s="18" t="str">
        <f t="shared" si="64"/>
        <v>Hide</v>
      </c>
      <c r="B183" s="45"/>
      <c r="E183" s="51"/>
      <c r="F183" s="50"/>
      <c r="G183" s="50"/>
      <c r="H183" s="50"/>
      <c r="I183" s="237" t="e">
        <f t="shared" si="56"/>
        <v>#N/A</v>
      </c>
      <c r="J183" s="50"/>
      <c r="K183" s="50"/>
      <c r="L183" s="50"/>
      <c r="M183" s="394" t="e">
        <f t="shared" si="58"/>
        <v>#N/A</v>
      </c>
    </row>
    <row r="184" spans="1:15" ht="13.5" thickTop="1" x14ac:dyDescent="0.2">
      <c r="A184" s="42" t="str">
        <f>'Ballot Entry'!A175</f>
        <v>Hide</v>
      </c>
      <c r="B184" s="43">
        <f>'Ballot Entry'!B175</f>
        <v>0</v>
      </c>
      <c r="C184" s="43" t="s">
        <v>285</v>
      </c>
      <c r="D184" s="44"/>
      <c r="E184" s="45"/>
      <c r="F184" s="44"/>
      <c r="G184" s="44"/>
      <c r="H184" s="44"/>
      <c r="I184" s="237" t="e">
        <f t="shared" si="56"/>
        <v>#N/A</v>
      </c>
      <c r="J184" s="44"/>
      <c r="K184" s="44"/>
      <c r="L184" s="44"/>
      <c r="M184" s="394" t="e">
        <f t="shared" si="58"/>
        <v>#N/A</v>
      </c>
      <c r="N184" s="35" t="e">
        <f t="shared" ref="N184" si="65">LARGE(I184:I186,3)&amp;","&amp;LARGE(I184:I186,2)&amp;","&amp;LARGE(I184:I186,1)</f>
        <v>#N/A</v>
      </c>
      <c r="O184" s="35" t="e">
        <f t="shared" ref="O184" si="66">LARGE(M184:M186,3)&amp;","&amp;LARGE(M184:M186,2)&amp;","&amp;LARGE(M184:M186,1)</f>
        <v>#N/A</v>
      </c>
    </row>
    <row r="185" spans="1:15" x14ac:dyDescent="0.2">
      <c r="A185" s="18" t="str">
        <f t="shared" ref="A185:A186" si="67">A184</f>
        <v>Hide</v>
      </c>
      <c r="B185" s="45"/>
      <c r="C185" s="45"/>
      <c r="D185" s="45"/>
      <c r="E185" s="45"/>
      <c r="F185" s="46"/>
      <c r="G185" s="46"/>
      <c r="H185" s="46"/>
      <c r="I185" s="237" t="e">
        <f t="shared" si="56"/>
        <v>#N/A</v>
      </c>
      <c r="J185" s="46"/>
      <c r="K185" s="46"/>
      <c r="L185" s="46"/>
      <c r="M185" s="394" t="e">
        <f t="shared" si="58"/>
        <v>#N/A</v>
      </c>
    </row>
    <row r="186" spans="1:15" ht="13.5" thickBot="1" x14ac:dyDescent="0.25">
      <c r="A186" s="18" t="str">
        <f t="shared" si="67"/>
        <v>Hide</v>
      </c>
      <c r="B186" s="45"/>
      <c r="E186" s="45"/>
      <c r="F186" s="47"/>
      <c r="G186" s="47"/>
      <c r="H186" s="47"/>
      <c r="I186" s="237" t="e">
        <f t="shared" si="56"/>
        <v>#N/A</v>
      </c>
      <c r="J186" s="47"/>
      <c r="K186" s="47"/>
      <c r="L186" s="47"/>
      <c r="M186" s="394" t="e">
        <f t="shared" si="58"/>
        <v>#N/A</v>
      </c>
    </row>
    <row r="187" spans="1:15" ht="13.5" thickTop="1" x14ac:dyDescent="0.2">
      <c r="A187" s="42" t="str">
        <f>'Ballot Entry'!A178</f>
        <v>Hide</v>
      </c>
      <c r="B187" s="43">
        <f>'Ballot Entry'!B178</f>
        <v>0</v>
      </c>
      <c r="C187" s="43" t="s">
        <v>285</v>
      </c>
      <c r="D187" s="48"/>
      <c r="E187" s="45"/>
      <c r="F187" s="48"/>
      <c r="G187" s="48"/>
      <c r="H187" s="48"/>
      <c r="I187" s="237" t="e">
        <f t="shared" si="56"/>
        <v>#N/A</v>
      </c>
      <c r="J187" s="48"/>
      <c r="K187" s="48"/>
      <c r="L187" s="48"/>
      <c r="M187" s="394" t="e">
        <f t="shared" si="58"/>
        <v>#N/A</v>
      </c>
      <c r="N187" s="35" t="e">
        <f t="shared" ref="N187" si="68">LARGE(I187:I189,3)&amp;","&amp;LARGE(I187:I189,2)&amp;","&amp;LARGE(I187:I189,1)</f>
        <v>#N/A</v>
      </c>
      <c r="O187" s="35" t="e">
        <f t="shared" ref="O187" si="69">LARGE(M187:M189,3)&amp;","&amp;LARGE(M187:M189,2)&amp;","&amp;LARGE(M187:M189,1)</f>
        <v>#N/A</v>
      </c>
    </row>
    <row r="188" spans="1:15" x14ac:dyDescent="0.2">
      <c r="A188" s="18" t="str">
        <f t="shared" ref="A188:A189" si="70">A187</f>
        <v>Hide</v>
      </c>
      <c r="B188" s="45"/>
      <c r="C188" s="45"/>
      <c r="D188" s="45"/>
      <c r="E188" s="45"/>
      <c r="F188" s="49"/>
      <c r="G188" s="49"/>
      <c r="H188" s="49"/>
      <c r="I188" s="237" t="e">
        <f t="shared" si="56"/>
        <v>#N/A</v>
      </c>
      <c r="J188" s="49"/>
      <c r="K188" s="49"/>
      <c r="L188" s="49"/>
      <c r="M188" s="394" t="e">
        <f t="shared" si="58"/>
        <v>#N/A</v>
      </c>
    </row>
    <row r="189" spans="1:15" ht="13.5" thickBot="1" x14ac:dyDescent="0.25">
      <c r="A189" s="18" t="str">
        <f t="shared" si="70"/>
        <v>Hide</v>
      </c>
      <c r="B189" s="45"/>
      <c r="E189" s="51"/>
      <c r="F189" s="50"/>
      <c r="G189" s="50"/>
      <c r="H189" s="50"/>
      <c r="I189" s="237" t="e">
        <f t="shared" si="56"/>
        <v>#N/A</v>
      </c>
      <c r="J189" s="50"/>
      <c r="K189" s="50"/>
      <c r="L189" s="50"/>
      <c r="M189" s="394" t="e">
        <f t="shared" si="58"/>
        <v>#N/A</v>
      </c>
    </row>
    <row r="190" spans="1:15" ht="13.5" thickTop="1" x14ac:dyDescent="0.2">
      <c r="A190" s="42" t="str">
        <f>'Ballot Entry'!A181</f>
        <v>Hide</v>
      </c>
      <c r="B190" s="43">
        <f>'Ballot Entry'!B181</f>
        <v>0</v>
      </c>
      <c r="C190" s="43" t="s">
        <v>285</v>
      </c>
      <c r="D190" s="44"/>
      <c r="E190" s="45"/>
      <c r="F190" s="44"/>
      <c r="G190" s="44"/>
      <c r="H190" s="44"/>
      <c r="I190" s="237" t="e">
        <f t="shared" si="56"/>
        <v>#N/A</v>
      </c>
      <c r="J190" s="44"/>
      <c r="K190" s="44"/>
      <c r="L190" s="44"/>
      <c r="M190" s="394" t="e">
        <f t="shared" si="58"/>
        <v>#N/A</v>
      </c>
      <c r="N190" s="35" t="e">
        <f t="shared" ref="N190" si="71">LARGE(I190:I192,3)&amp;","&amp;LARGE(I190:I192,2)&amp;","&amp;LARGE(I190:I192,1)</f>
        <v>#N/A</v>
      </c>
      <c r="O190" s="35" t="e">
        <f t="shared" ref="O190" si="72">LARGE(M190:M192,3)&amp;","&amp;LARGE(M190:M192,2)&amp;","&amp;LARGE(M190:M192,1)</f>
        <v>#N/A</v>
      </c>
    </row>
    <row r="191" spans="1:15" x14ac:dyDescent="0.2">
      <c r="A191" s="18" t="str">
        <f t="shared" ref="A191:A192" si="73">A190</f>
        <v>Hide</v>
      </c>
      <c r="B191" s="45"/>
      <c r="C191" s="45"/>
      <c r="D191" s="45"/>
      <c r="E191" s="45"/>
      <c r="F191" s="46"/>
      <c r="G191" s="46"/>
      <c r="H191" s="46"/>
      <c r="I191" s="237" t="e">
        <f t="shared" si="56"/>
        <v>#N/A</v>
      </c>
      <c r="J191" s="46"/>
      <c r="K191" s="46"/>
      <c r="L191" s="46"/>
      <c r="M191" s="394" t="e">
        <f t="shared" si="58"/>
        <v>#N/A</v>
      </c>
    </row>
    <row r="192" spans="1:15" ht="13.5" thickBot="1" x14ac:dyDescent="0.25">
      <c r="A192" s="18" t="str">
        <f t="shared" si="73"/>
        <v>Hide</v>
      </c>
      <c r="B192" s="45"/>
      <c r="E192" s="45"/>
      <c r="F192" s="47"/>
      <c r="G192" s="47"/>
      <c r="H192" s="47"/>
      <c r="I192" s="237" t="e">
        <f t="shared" si="56"/>
        <v>#N/A</v>
      </c>
      <c r="J192" s="47"/>
      <c r="K192" s="47"/>
      <c r="L192" s="47"/>
      <c r="M192" s="394" t="e">
        <f t="shared" si="58"/>
        <v>#N/A</v>
      </c>
    </row>
    <row r="193" spans="1:15" ht="13.5" thickTop="1" x14ac:dyDescent="0.2">
      <c r="A193" s="42" t="str">
        <f>'Ballot Entry'!A184</f>
        <v>Hide</v>
      </c>
      <c r="B193" s="43">
        <f>'Ballot Entry'!B184</f>
        <v>0</v>
      </c>
      <c r="C193" s="43" t="s">
        <v>285</v>
      </c>
      <c r="D193" s="48"/>
      <c r="E193" s="45"/>
      <c r="F193" s="48"/>
      <c r="G193" s="48"/>
      <c r="H193" s="48"/>
      <c r="I193" s="237" t="e">
        <f t="shared" si="56"/>
        <v>#N/A</v>
      </c>
      <c r="J193" s="48"/>
      <c r="K193" s="48"/>
      <c r="L193" s="48"/>
      <c r="M193" s="394" t="e">
        <f t="shared" si="58"/>
        <v>#N/A</v>
      </c>
      <c r="N193" s="35" t="e">
        <f t="shared" ref="N193" si="74">LARGE(I193:I195,3)&amp;","&amp;LARGE(I193:I195,2)&amp;","&amp;LARGE(I193:I195,1)</f>
        <v>#N/A</v>
      </c>
      <c r="O193" s="35" t="e">
        <f t="shared" ref="O193" si="75">LARGE(M193:M195,3)&amp;","&amp;LARGE(M193:M195,2)&amp;","&amp;LARGE(M193:M195,1)</f>
        <v>#N/A</v>
      </c>
    </row>
    <row r="194" spans="1:15" x14ac:dyDescent="0.2">
      <c r="A194" s="18" t="str">
        <f t="shared" ref="A194:A195" si="76">A193</f>
        <v>Hide</v>
      </c>
      <c r="B194" s="45"/>
      <c r="C194" s="45"/>
      <c r="D194" s="45"/>
      <c r="E194" s="45"/>
      <c r="F194" s="49"/>
      <c r="G194" s="49"/>
      <c r="H194" s="49"/>
      <c r="I194" s="237" t="e">
        <f t="shared" si="56"/>
        <v>#N/A</v>
      </c>
      <c r="J194" s="49"/>
      <c r="K194" s="49"/>
      <c r="L194" s="49"/>
      <c r="M194" s="394" t="e">
        <f t="shared" si="58"/>
        <v>#N/A</v>
      </c>
    </row>
    <row r="195" spans="1:15" ht="13.5" thickBot="1" x14ac:dyDescent="0.25">
      <c r="A195" s="18" t="str">
        <f t="shared" si="76"/>
        <v>Hide</v>
      </c>
      <c r="B195" s="45"/>
      <c r="E195" s="51"/>
      <c r="F195" s="50"/>
      <c r="G195" s="50"/>
      <c r="H195" s="50"/>
      <c r="I195" s="237" t="e">
        <f t="shared" si="56"/>
        <v>#N/A</v>
      </c>
      <c r="J195" s="50"/>
      <c r="K195" s="50"/>
      <c r="L195" s="50"/>
      <c r="M195" s="394" t="e">
        <f t="shared" si="58"/>
        <v>#N/A</v>
      </c>
    </row>
    <row r="196" spans="1:15" ht="13.5" thickTop="1" x14ac:dyDescent="0.2">
      <c r="A196" s="42" t="str">
        <f>'Ballot Entry'!A187</f>
        <v>Hide</v>
      </c>
      <c r="B196" s="43">
        <f>'Ballot Entry'!B187</f>
        <v>0</v>
      </c>
      <c r="C196" s="43" t="s">
        <v>285</v>
      </c>
      <c r="D196" s="44"/>
      <c r="E196" s="45"/>
      <c r="F196" s="44"/>
      <c r="G196" s="44"/>
      <c r="H196" s="44"/>
      <c r="I196" s="237" t="e">
        <f t="shared" si="56"/>
        <v>#N/A</v>
      </c>
      <c r="J196" s="44"/>
      <c r="K196" s="44"/>
      <c r="L196" s="44"/>
      <c r="M196" s="394" t="e">
        <f t="shared" si="58"/>
        <v>#N/A</v>
      </c>
      <c r="N196" s="35" t="e">
        <f t="shared" ref="N196" si="77">LARGE(I196:I198,3)&amp;","&amp;LARGE(I196:I198,2)&amp;","&amp;LARGE(I196:I198,1)</f>
        <v>#N/A</v>
      </c>
      <c r="O196" s="35" t="e">
        <f t="shared" ref="O196" si="78">LARGE(M196:M198,3)&amp;","&amp;LARGE(M196:M198,2)&amp;","&amp;LARGE(M196:M198,1)</f>
        <v>#N/A</v>
      </c>
    </row>
    <row r="197" spans="1:15" x14ac:dyDescent="0.2">
      <c r="A197" s="18" t="str">
        <f t="shared" ref="A197:A198" si="79">A196</f>
        <v>Hide</v>
      </c>
      <c r="B197" s="45"/>
      <c r="C197" s="45"/>
      <c r="D197" s="45"/>
      <c r="E197" s="45"/>
      <c r="F197" s="46"/>
      <c r="G197" s="46"/>
      <c r="H197" s="46"/>
      <c r="I197" s="237" t="e">
        <f t="shared" si="56"/>
        <v>#N/A</v>
      </c>
      <c r="J197" s="46"/>
      <c r="K197" s="46"/>
      <c r="L197" s="46"/>
      <c r="M197" s="394" t="e">
        <f t="shared" si="58"/>
        <v>#N/A</v>
      </c>
    </row>
    <row r="198" spans="1:15" ht="13.5" thickBot="1" x14ac:dyDescent="0.25">
      <c r="A198" s="18" t="str">
        <f t="shared" si="79"/>
        <v>Hide</v>
      </c>
      <c r="B198" s="45"/>
      <c r="E198" s="45"/>
      <c r="F198" s="47"/>
      <c r="G198" s="47"/>
      <c r="H198" s="47"/>
      <c r="I198" s="237" t="e">
        <f t="shared" si="56"/>
        <v>#N/A</v>
      </c>
      <c r="J198" s="47"/>
      <c r="K198" s="47"/>
      <c r="L198" s="47"/>
      <c r="M198" s="394" t="e">
        <f t="shared" si="58"/>
        <v>#N/A</v>
      </c>
    </row>
    <row r="199" spans="1:15" ht="13.5" thickTop="1" x14ac:dyDescent="0.2">
      <c r="A199" s="42" t="str">
        <f>'Ballot Entry'!A190</f>
        <v>Hide</v>
      </c>
      <c r="B199" s="43">
        <f>'Ballot Entry'!B190</f>
        <v>0</v>
      </c>
      <c r="C199" s="43" t="s">
        <v>285</v>
      </c>
      <c r="D199" s="48"/>
      <c r="E199" s="45"/>
      <c r="F199" s="48"/>
      <c r="G199" s="48"/>
      <c r="H199" s="48"/>
      <c r="I199" s="237" t="e">
        <f t="shared" si="56"/>
        <v>#N/A</v>
      </c>
      <c r="J199" s="48"/>
      <c r="K199" s="48"/>
      <c r="L199" s="48"/>
      <c r="M199" s="394" t="e">
        <f t="shared" si="58"/>
        <v>#N/A</v>
      </c>
      <c r="N199" s="35" t="e">
        <f t="shared" ref="N199" si="80">LARGE(I199:I201,3)&amp;","&amp;LARGE(I199:I201,2)&amp;","&amp;LARGE(I199:I201,1)</f>
        <v>#N/A</v>
      </c>
      <c r="O199" s="35" t="e">
        <f t="shared" ref="O199" si="81">LARGE(M199:M201,3)&amp;","&amp;LARGE(M199:M201,2)&amp;","&amp;LARGE(M199:M201,1)</f>
        <v>#N/A</v>
      </c>
    </row>
    <row r="200" spans="1:15" x14ac:dyDescent="0.2">
      <c r="A200" s="18" t="str">
        <f t="shared" ref="A200:A201" si="82">A199</f>
        <v>Hide</v>
      </c>
      <c r="B200" s="45"/>
      <c r="C200" s="45"/>
      <c r="D200" s="45"/>
      <c r="E200" s="45"/>
      <c r="F200" s="49"/>
      <c r="G200" s="49"/>
      <c r="H200" s="49"/>
      <c r="I200" s="237" t="e">
        <f t="shared" si="56"/>
        <v>#N/A</v>
      </c>
      <c r="J200" s="49"/>
      <c r="K200" s="49"/>
      <c r="L200" s="49"/>
      <c r="M200" s="394" t="e">
        <f t="shared" si="58"/>
        <v>#N/A</v>
      </c>
    </row>
    <row r="201" spans="1:15" ht="13.5" thickBot="1" x14ac:dyDescent="0.25">
      <c r="A201" s="18" t="str">
        <f t="shared" si="82"/>
        <v>Hide</v>
      </c>
      <c r="B201" s="45"/>
      <c r="E201" s="51"/>
      <c r="F201" s="50"/>
      <c r="G201" s="50"/>
      <c r="H201" s="50"/>
      <c r="I201" s="237" t="e">
        <f t="shared" si="56"/>
        <v>#N/A</v>
      </c>
      <c r="J201" s="50"/>
      <c r="K201" s="50"/>
      <c r="L201" s="50"/>
      <c r="M201" s="394" t="e">
        <f t="shared" si="58"/>
        <v>#N/A</v>
      </c>
    </row>
    <row r="202" spans="1:15" ht="13.5" thickTop="1" x14ac:dyDescent="0.2">
      <c r="A202" s="42" t="str">
        <f>'Ballot Entry'!A193</f>
        <v>Hide</v>
      </c>
      <c r="B202" s="43">
        <f>'Ballot Entry'!B193</f>
        <v>0</v>
      </c>
      <c r="C202" s="43" t="s">
        <v>285</v>
      </c>
      <c r="D202" s="44"/>
      <c r="E202" s="45"/>
      <c r="F202" s="44"/>
      <c r="G202" s="44"/>
      <c r="H202" s="44"/>
      <c r="I202" s="237" t="e">
        <f t="shared" si="56"/>
        <v>#N/A</v>
      </c>
      <c r="J202" s="44"/>
      <c r="K202" s="44"/>
      <c r="L202" s="44"/>
      <c r="M202" s="394" t="e">
        <f t="shared" si="58"/>
        <v>#N/A</v>
      </c>
      <c r="N202" s="35" t="e">
        <f t="shared" ref="N202" si="83">LARGE(I202:I204,3)&amp;","&amp;LARGE(I202:I204,2)&amp;","&amp;LARGE(I202:I204,1)</f>
        <v>#N/A</v>
      </c>
      <c r="O202" s="35" t="e">
        <f t="shared" ref="O202" si="84">LARGE(M202:M204,3)&amp;","&amp;LARGE(M202:M204,2)&amp;","&amp;LARGE(M202:M204,1)</f>
        <v>#N/A</v>
      </c>
    </row>
    <row r="203" spans="1:15" x14ac:dyDescent="0.2">
      <c r="A203" s="18" t="str">
        <f t="shared" ref="A203:A204" si="85">A202</f>
        <v>Hide</v>
      </c>
      <c r="B203" s="45"/>
      <c r="C203" s="45"/>
      <c r="D203" s="45"/>
      <c r="E203" s="45"/>
      <c r="F203" s="46"/>
      <c r="G203" s="46"/>
      <c r="H203" s="46"/>
      <c r="I203" s="237" t="e">
        <f t="shared" si="56"/>
        <v>#N/A</v>
      </c>
      <c r="J203" s="46"/>
      <c r="K203" s="46"/>
      <c r="L203" s="46"/>
      <c r="M203" s="394" t="e">
        <f t="shared" si="58"/>
        <v>#N/A</v>
      </c>
    </row>
    <row r="204" spans="1:15" ht="13.5" thickBot="1" x14ac:dyDescent="0.25">
      <c r="A204" s="18" t="str">
        <f t="shared" si="85"/>
        <v>Hide</v>
      </c>
      <c r="B204" s="45"/>
      <c r="E204" s="45"/>
      <c r="F204" s="47"/>
      <c r="G204" s="47"/>
      <c r="H204" s="47"/>
      <c r="I204" s="237" t="e">
        <f t="shared" si="56"/>
        <v>#N/A</v>
      </c>
      <c r="J204" s="47"/>
      <c r="K204" s="47"/>
      <c r="L204" s="47"/>
      <c r="M204" s="394" t="e">
        <f t="shared" si="58"/>
        <v>#N/A</v>
      </c>
    </row>
    <row r="205" spans="1:15" ht="13.5" thickTop="1" x14ac:dyDescent="0.2">
      <c r="A205" s="42" t="str">
        <f>'Ballot Entry'!A196</f>
        <v>Hide</v>
      </c>
      <c r="B205" s="43">
        <f>'Ballot Entry'!B196</f>
        <v>0</v>
      </c>
      <c r="C205" s="43" t="s">
        <v>285</v>
      </c>
      <c r="D205" s="48"/>
      <c r="E205" s="45"/>
      <c r="F205" s="48"/>
      <c r="G205" s="48"/>
      <c r="H205" s="48"/>
      <c r="I205" s="237" t="e">
        <f t="shared" si="56"/>
        <v>#N/A</v>
      </c>
      <c r="J205" s="48"/>
      <c r="K205" s="48"/>
      <c r="L205" s="48"/>
      <c r="M205" s="394" t="e">
        <f t="shared" si="58"/>
        <v>#N/A</v>
      </c>
      <c r="N205" s="35" t="e">
        <f t="shared" ref="N205" si="86">LARGE(I205:I207,3)&amp;","&amp;LARGE(I205:I207,2)&amp;","&amp;LARGE(I205:I207,1)</f>
        <v>#N/A</v>
      </c>
      <c r="O205" s="35" t="e">
        <f t="shared" ref="O205" si="87">LARGE(M205:M207,3)&amp;","&amp;LARGE(M205:M207,2)&amp;","&amp;LARGE(M205:M207,1)</f>
        <v>#N/A</v>
      </c>
    </row>
    <row r="206" spans="1:15" x14ac:dyDescent="0.2">
      <c r="A206" s="18" t="str">
        <f t="shared" ref="A206:A207" si="88">A205</f>
        <v>Hide</v>
      </c>
      <c r="B206" s="45"/>
      <c r="C206" s="45"/>
      <c r="D206" s="45"/>
      <c r="E206" s="45"/>
      <c r="F206" s="49"/>
      <c r="G206" s="49"/>
      <c r="H206" s="49"/>
      <c r="I206" s="237" t="e">
        <f t="shared" si="56"/>
        <v>#N/A</v>
      </c>
      <c r="J206" s="49"/>
      <c r="K206" s="49"/>
      <c r="L206" s="49"/>
      <c r="M206" s="394" t="e">
        <f t="shared" si="58"/>
        <v>#N/A</v>
      </c>
    </row>
    <row r="207" spans="1:15" ht="13.5" thickBot="1" x14ac:dyDescent="0.25">
      <c r="A207" s="18" t="str">
        <f t="shared" si="88"/>
        <v>Hide</v>
      </c>
      <c r="B207" s="45"/>
      <c r="E207" s="51"/>
      <c r="F207" s="50"/>
      <c r="G207" s="50"/>
      <c r="H207" s="50"/>
      <c r="I207" s="237" t="e">
        <f t="shared" si="56"/>
        <v>#N/A</v>
      </c>
      <c r="J207" s="50"/>
      <c r="K207" s="50"/>
      <c r="L207" s="50"/>
      <c r="M207" s="394" t="e">
        <f t="shared" si="58"/>
        <v>#N/A</v>
      </c>
    </row>
    <row r="208" spans="1:15" ht="13.5" thickTop="1" x14ac:dyDescent="0.2">
      <c r="A208" s="42" t="str">
        <f>'Ballot Entry'!A199</f>
        <v>Hide</v>
      </c>
      <c r="B208" s="43">
        <f>'Ballot Entry'!B199</f>
        <v>0</v>
      </c>
      <c r="C208" s="43" t="s">
        <v>285</v>
      </c>
      <c r="D208" s="44"/>
      <c r="E208" s="45"/>
      <c r="F208" s="44"/>
      <c r="G208" s="44"/>
      <c r="H208" s="44"/>
      <c r="I208" s="237" t="e">
        <f t="shared" si="56"/>
        <v>#N/A</v>
      </c>
      <c r="J208" s="44"/>
      <c r="K208" s="44"/>
      <c r="L208" s="44"/>
      <c r="M208" s="394" t="e">
        <f t="shared" si="58"/>
        <v>#N/A</v>
      </c>
      <c r="N208" s="35" t="e">
        <f t="shared" ref="N208" si="89">LARGE(I208:I210,3)&amp;","&amp;LARGE(I208:I210,2)&amp;","&amp;LARGE(I208:I210,1)</f>
        <v>#N/A</v>
      </c>
      <c r="O208" s="35" t="e">
        <f t="shared" ref="O208" si="90">LARGE(M208:M210,3)&amp;","&amp;LARGE(M208:M210,2)&amp;","&amp;LARGE(M208:M210,1)</f>
        <v>#N/A</v>
      </c>
    </row>
    <row r="209" spans="1:15" x14ac:dyDescent="0.2">
      <c r="A209" s="18" t="str">
        <f t="shared" ref="A209:A210" si="91">A208</f>
        <v>Hide</v>
      </c>
      <c r="B209" s="45"/>
      <c r="C209" s="45"/>
      <c r="D209" s="45"/>
      <c r="E209" s="45"/>
      <c r="F209" s="46"/>
      <c r="G209" s="46"/>
      <c r="H209" s="46"/>
      <c r="I209" s="237" t="e">
        <f t="shared" si="56"/>
        <v>#N/A</v>
      </c>
      <c r="J209" s="46"/>
      <c r="K209" s="46"/>
      <c r="L209" s="46"/>
      <c r="M209" s="394" t="e">
        <f t="shared" si="58"/>
        <v>#N/A</v>
      </c>
    </row>
    <row r="210" spans="1:15" ht="13.5" thickBot="1" x14ac:dyDescent="0.25">
      <c r="A210" s="18" t="str">
        <f t="shared" si="91"/>
        <v>Hide</v>
      </c>
      <c r="B210" s="45"/>
      <c r="E210" s="45"/>
      <c r="F210" s="47"/>
      <c r="G210" s="47"/>
      <c r="H210" s="47"/>
      <c r="I210" s="237" t="e">
        <f t="shared" si="56"/>
        <v>#N/A</v>
      </c>
      <c r="J210" s="47"/>
      <c r="K210" s="47"/>
      <c r="L210" s="47"/>
      <c r="M210" s="394" t="e">
        <f t="shared" si="58"/>
        <v>#N/A</v>
      </c>
    </row>
    <row r="211" spans="1:15" ht="13.5" thickTop="1" x14ac:dyDescent="0.2">
      <c r="A211" s="42" t="str">
        <f>'Ballot Entry'!A202</f>
        <v>Hide</v>
      </c>
      <c r="B211" s="43">
        <f>'Ballot Entry'!B202</f>
        <v>0</v>
      </c>
      <c r="C211" s="43" t="s">
        <v>285</v>
      </c>
      <c r="D211" s="48"/>
      <c r="E211" s="45"/>
      <c r="F211" s="48"/>
      <c r="G211" s="48"/>
      <c r="H211" s="48"/>
      <c r="I211" s="237" t="e">
        <f t="shared" si="56"/>
        <v>#N/A</v>
      </c>
      <c r="J211" s="48"/>
      <c r="K211" s="48"/>
      <c r="L211" s="48"/>
      <c r="M211" s="394" t="e">
        <f t="shared" si="58"/>
        <v>#N/A</v>
      </c>
      <c r="N211" s="35" t="e">
        <f t="shared" ref="N211" si="92">LARGE(I211:I213,3)&amp;","&amp;LARGE(I211:I213,2)&amp;","&amp;LARGE(I211:I213,1)</f>
        <v>#N/A</v>
      </c>
      <c r="O211" s="35" t="e">
        <f t="shared" ref="O211" si="93">LARGE(M211:M213,3)&amp;","&amp;LARGE(M211:M213,2)&amp;","&amp;LARGE(M211:M213,1)</f>
        <v>#N/A</v>
      </c>
    </row>
    <row r="212" spans="1:15" x14ac:dyDescent="0.2">
      <c r="A212" s="18" t="str">
        <f t="shared" ref="A212:A213" si="94">A211</f>
        <v>Hide</v>
      </c>
      <c r="B212" s="45"/>
      <c r="C212" s="45"/>
      <c r="D212" s="45"/>
      <c r="E212" s="45"/>
      <c r="F212" s="49"/>
      <c r="G212" s="49"/>
      <c r="H212" s="49"/>
      <c r="I212" s="237" t="e">
        <f t="shared" si="56"/>
        <v>#N/A</v>
      </c>
      <c r="J212" s="49"/>
      <c r="K212" s="49"/>
      <c r="L212" s="49"/>
      <c r="M212" s="394" t="e">
        <f t="shared" si="58"/>
        <v>#N/A</v>
      </c>
    </row>
    <row r="213" spans="1:15" ht="13.5" thickBot="1" x14ac:dyDescent="0.25">
      <c r="A213" s="18" t="str">
        <f t="shared" si="94"/>
        <v>Hide</v>
      </c>
      <c r="B213" s="45"/>
      <c r="E213" s="51"/>
      <c r="F213" s="50"/>
      <c r="G213" s="50"/>
      <c r="H213" s="50"/>
      <c r="I213" s="237" t="e">
        <f t="shared" si="56"/>
        <v>#N/A</v>
      </c>
      <c r="J213" s="50"/>
      <c r="K213" s="50"/>
      <c r="L213" s="50"/>
      <c r="M213" s="394" t="e">
        <f t="shared" si="58"/>
        <v>#N/A</v>
      </c>
    </row>
    <row r="214" spans="1:15" ht="13.5" thickTop="1" x14ac:dyDescent="0.2">
      <c r="A214" s="42" t="str">
        <f>'Ballot Entry'!A205</f>
        <v>Hide</v>
      </c>
      <c r="B214" s="43">
        <f>'Ballot Entry'!B205</f>
        <v>0</v>
      </c>
      <c r="C214" s="43" t="s">
        <v>285</v>
      </c>
      <c r="D214" s="44"/>
      <c r="E214" s="45"/>
      <c r="F214" s="44"/>
      <c r="G214" s="44"/>
      <c r="H214" s="44"/>
      <c r="I214" s="237" t="e">
        <f t="shared" si="56"/>
        <v>#N/A</v>
      </c>
      <c r="J214" s="44"/>
      <c r="K214" s="44"/>
      <c r="L214" s="44"/>
      <c r="M214" s="394" t="e">
        <f t="shared" si="58"/>
        <v>#N/A</v>
      </c>
      <c r="N214" s="35" t="e">
        <f t="shared" ref="N214" si="95">LARGE(I214:I216,3)&amp;","&amp;LARGE(I214:I216,2)&amp;","&amp;LARGE(I214:I216,1)</f>
        <v>#N/A</v>
      </c>
      <c r="O214" s="35" t="e">
        <f t="shared" ref="O214" si="96">LARGE(M214:M216,3)&amp;","&amp;LARGE(M214:M216,2)&amp;","&amp;LARGE(M214:M216,1)</f>
        <v>#N/A</v>
      </c>
    </row>
    <row r="215" spans="1:15" x14ac:dyDescent="0.2">
      <c r="A215" s="18" t="str">
        <f t="shared" ref="A215:A216" si="97">A214</f>
        <v>Hide</v>
      </c>
      <c r="B215" s="45"/>
      <c r="C215" s="45"/>
      <c r="D215" s="45"/>
      <c r="E215" s="45"/>
      <c r="F215" s="46"/>
      <c r="G215" s="46"/>
      <c r="H215" s="46"/>
      <c r="I215" s="237" t="e">
        <f t="shared" si="56"/>
        <v>#N/A</v>
      </c>
      <c r="J215" s="46"/>
      <c r="K215" s="46"/>
      <c r="L215" s="46"/>
      <c r="M215" s="394" t="e">
        <f t="shared" si="58"/>
        <v>#N/A</v>
      </c>
    </row>
    <row r="216" spans="1:15" ht="13.5" thickBot="1" x14ac:dyDescent="0.25">
      <c r="A216" s="18" t="str">
        <f t="shared" si="97"/>
        <v>Hide</v>
      </c>
      <c r="B216" s="45"/>
      <c r="E216" s="45"/>
      <c r="F216" s="47"/>
      <c r="G216" s="47"/>
      <c r="H216" s="47"/>
      <c r="I216" s="237" t="e">
        <f t="shared" si="56"/>
        <v>#N/A</v>
      </c>
      <c r="J216" s="47"/>
      <c r="K216" s="47"/>
      <c r="L216" s="47"/>
      <c r="M216" s="394" t="e">
        <f t="shared" si="58"/>
        <v>#N/A</v>
      </c>
    </row>
    <row r="217" spans="1:15" ht="13.5" thickTop="1" x14ac:dyDescent="0.2">
      <c r="A217" s="42" t="str">
        <f>'Ballot Entry'!A208</f>
        <v>Hide</v>
      </c>
      <c r="B217" s="43">
        <f>'Ballot Entry'!B208</f>
        <v>0</v>
      </c>
      <c r="C217" s="43" t="s">
        <v>285</v>
      </c>
      <c r="D217" s="48"/>
      <c r="E217" s="45"/>
      <c r="F217" s="48"/>
      <c r="G217" s="48"/>
      <c r="H217" s="48"/>
      <c r="I217" s="237" t="e">
        <f t="shared" si="56"/>
        <v>#N/A</v>
      </c>
      <c r="J217" s="48"/>
      <c r="K217" s="48"/>
      <c r="L217" s="48"/>
      <c r="M217" s="394" t="e">
        <f t="shared" si="58"/>
        <v>#N/A</v>
      </c>
      <c r="N217" s="35" t="e">
        <f t="shared" ref="N217" si="98">LARGE(I217:I219,3)&amp;","&amp;LARGE(I217:I219,2)&amp;","&amp;LARGE(I217:I219,1)</f>
        <v>#N/A</v>
      </c>
      <c r="O217" s="35" t="e">
        <f t="shared" ref="O217" si="99">LARGE(M217:M219,3)&amp;","&amp;LARGE(M217:M219,2)&amp;","&amp;LARGE(M217:M219,1)</f>
        <v>#N/A</v>
      </c>
    </row>
    <row r="218" spans="1:15" x14ac:dyDescent="0.2">
      <c r="A218" s="18" t="str">
        <f t="shared" ref="A218:A219" si="100">A217</f>
        <v>Hide</v>
      </c>
      <c r="B218" s="45"/>
      <c r="C218" s="45"/>
      <c r="D218" s="45"/>
      <c r="E218" s="45"/>
      <c r="F218" s="49"/>
      <c r="G218" s="49"/>
      <c r="H218" s="49"/>
      <c r="I218" s="237" t="e">
        <f t="shared" si="56"/>
        <v>#N/A</v>
      </c>
      <c r="J218" s="49"/>
      <c r="K218" s="49"/>
      <c r="L218" s="49"/>
      <c r="M218" s="394" t="e">
        <f t="shared" si="58"/>
        <v>#N/A</v>
      </c>
    </row>
    <row r="219" spans="1:15" ht="13.5" thickBot="1" x14ac:dyDescent="0.25">
      <c r="A219" s="18" t="str">
        <f t="shared" si="100"/>
        <v>Hide</v>
      </c>
      <c r="B219" s="45"/>
      <c r="E219" s="51"/>
      <c r="F219" s="50"/>
      <c r="G219" s="50"/>
      <c r="H219" s="50"/>
      <c r="I219" s="237" t="e">
        <f t="shared" si="56"/>
        <v>#N/A</v>
      </c>
      <c r="J219" s="50"/>
      <c r="K219" s="50"/>
      <c r="L219" s="50"/>
      <c r="M219" s="394" t="e">
        <f t="shared" si="58"/>
        <v>#N/A</v>
      </c>
    </row>
    <row r="220" spans="1:15" ht="13.5" thickTop="1" x14ac:dyDescent="0.2">
      <c r="A220" s="42" t="str">
        <f>'Ballot Entry'!A211</f>
        <v>Hide</v>
      </c>
      <c r="B220" s="43">
        <f>'Ballot Entry'!B211</f>
        <v>0</v>
      </c>
      <c r="C220" s="43" t="s">
        <v>285</v>
      </c>
      <c r="D220" s="44"/>
      <c r="E220" s="45"/>
      <c r="F220" s="44"/>
      <c r="G220" s="44"/>
      <c r="H220" s="44"/>
      <c r="I220" s="237" t="e">
        <f t="shared" si="56"/>
        <v>#N/A</v>
      </c>
      <c r="J220" s="44"/>
      <c r="K220" s="44"/>
      <c r="L220" s="44"/>
      <c r="M220" s="394" t="e">
        <f t="shared" si="58"/>
        <v>#N/A</v>
      </c>
      <c r="N220" s="35" t="e">
        <f t="shared" ref="N220" si="101">LARGE(I220:I222,3)&amp;","&amp;LARGE(I220:I222,2)&amp;","&amp;LARGE(I220:I222,1)</f>
        <v>#N/A</v>
      </c>
      <c r="O220" s="35" t="e">
        <f t="shared" ref="O220" si="102">LARGE(M220:M222,3)&amp;","&amp;LARGE(M220:M222,2)&amp;","&amp;LARGE(M220:M222,1)</f>
        <v>#N/A</v>
      </c>
    </row>
    <row r="221" spans="1:15" x14ac:dyDescent="0.2">
      <c r="A221" s="18" t="str">
        <f t="shared" ref="A221:A222" si="103">A220</f>
        <v>Hide</v>
      </c>
      <c r="B221" s="45"/>
      <c r="C221" s="45"/>
      <c r="D221" s="45"/>
      <c r="E221" s="45"/>
      <c r="F221" s="46"/>
      <c r="G221" s="46"/>
      <c r="H221" s="46"/>
      <c r="I221" s="237" t="e">
        <f t="shared" si="56"/>
        <v>#N/A</v>
      </c>
      <c r="J221" s="46"/>
      <c r="K221" s="46"/>
      <c r="L221" s="46"/>
      <c r="M221" s="394" t="e">
        <f t="shared" si="58"/>
        <v>#N/A</v>
      </c>
    </row>
    <row r="222" spans="1:15" ht="13.5" thickBot="1" x14ac:dyDescent="0.25">
      <c r="A222" s="18" t="str">
        <f t="shared" si="103"/>
        <v>Hide</v>
      </c>
      <c r="B222" s="45"/>
      <c r="E222" s="45"/>
      <c r="F222" s="47"/>
      <c r="G222" s="47"/>
      <c r="H222" s="47"/>
      <c r="I222" s="237" t="e">
        <f t="shared" si="56"/>
        <v>#N/A</v>
      </c>
      <c r="J222" s="47"/>
      <c r="K222" s="47"/>
      <c r="L222" s="47"/>
      <c r="M222" s="394" t="e">
        <f t="shared" si="58"/>
        <v>#N/A</v>
      </c>
    </row>
    <row r="223" spans="1:15" ht="14.25" thickTop="1" thickBot="1" x14ac:dyDescent="0.25">
      <c r="A223" s="52" t="str">
        <f>'Ballot Entry'!A214</f>
        <v>Round 3 Begins Here</v>
      </c>
      <c r="B223" s="52"/>
      <c r="C223" s="52"/>
      <c r="D223" s="93" t="s">
        <v>78</v>
      </c>
      <c r="E223" s="93"/>
      <c r="F223" s="93" t="s">
        <v>78</v>
      </c>
      <c r="G223" s="93"/>
      <c r="H223" s="93"/>
      <c r="I223" s="237">
        <f t="shared" si="54"/>
        <v>8</v>
      </c>
      <c r="J223" s="93" t="s">
        <v>78</v>
      </c>
      <c r="K223" s="93"/>
      <c r="L223" s="93"/>
      <c r="M223" s="394">
        <f t="shared" si="55"/>
        <v>8</v>
      </c>
    </row>
    <row r="224" spans="1:15" ht="13.5" thickTop="1" x14ac:dyDescent="0.2">
      <c r="A224" s="42" t="str">
        <f>'Ballot Entry'!A215</f>
        <v>3</v>
      </c>
      <c r="B224" s="43">
        <f>'Ballot Entry'!B215</f>
        <v>501</v>
      </c>
      <c r="C224" s="43" t="s">
        <v>285</v>
      </c>
      <c r="D224" s="44"/>
      <c r="E224" s="45"/>
      <c r="F224" s="44"/>
      <c r="G224" s="44"/>
      <c r="H224" s="44"/>
      <c r="I224" s="237" t="e">
        <f t="shared" si="54"/>
        <v>#N/A</v>
      </c>
      <c r="J224" s="44"/>
      <c r="K224" s="44"/>
      <c r="L224" s="44"/>
      <c r="M224" s="394" t="e">
        <f t="shared" si="55"/>
        <v>#N/A</v>
      </c>
      <c r="N224" s="35" t="e">
        <f>LARGE(I224:I226,3)&amp;","&amp;LARGE(I224:I226,2)&amp;","&amp;LARGE(I224:I226,1)</f>
        <v>#N/A</v>
      </c>
      <c r="O224" s="35" t="e">
        <f>LARGE(M224:M226,3)&amp;","&amp;LARGE(M224:M226,2)&amp;","&amp;LARGE(M224:M226,1)</f>
        <v>#N/A</v>
      </c>
    </row>
    <row r="225" spans="1:15" x14ac:dyDescent="0.2">
      <c r="A225" s="18" t="str">
        <f>A224</f>
        <v>3</v>
      </c>
      <c r="B225" s="45"/>
      <c r="C225" s="45"/>
      <c r="D225" s="45"/>
      <c r="E225" s="45"/>
      <c r="F225" s="46"/>
      <c r="G225" s="46"/>
      <c r="H225" s="46"/>
      <c r="I225" s="237" t="e">
        <f t="shared" si="54"/>
        <v>#N/A</v>
      </c>
      <c r="J225" s="46"/>
      <c r="K225" s="46"/>
      <c r="L225" s="46"/>
      <c r="M225" s="394" t="e">
        <f t="shared" si="55"/>
        <v>#N/A</v>
      </c>
    </row>
    <row r="226" spans="1:15" ht="13.5" thickBot="1" x14ac:dyDescent="0.25">
      <c r="A226" s="18" t="str">
        <f>A225</f>
        <v>3</v>
      </c>
      <c r="B226" s="45"/>
      <c r="E226" s="45"/>
      <c r="F226" s="47"/>
      <c r="G226" s="47"/>
      <c r="H226" s="47"/>
      <c r="I226" s="237" t="e">
        <f t="shared" si="54"/>
        <v>#N/A</v>
      </c>
      <c r="J226" s="47"/>
      <c r="K226" s="47"/>
      <c r="L226" s="47"/>
      <c r="M226" s="394" t="e">
        <f t="shared" si="55"/>
        <v>#N/A</v>
      </c>
    </row>
    <row r="227" spans="1:15" ht="13.5" thickTop="1" x14ac:dyDescent="0.2">
      <c r="A227" s="42" t="str">
        <f>'Ballot Entry'!A218</f>
        <v>3</v>
      </c>
      <c r="B227" s="43">
        <f>'Ballot Entry'!B218</f>
        <v>502</v>
      </c>
      <c r="C227" s="43" t="s">
        <v>285</v>
      </c>
      <c r="D227" s="48"/>
      <c r="E227" s="45"/>
      <c r="F227" s="48"/>
      <c r="G227" s="48"/>
      <c r="H227" s="48"/>
      <c r="I227" s="237" t="e">
        <f t="shared" si="54"/>
        <v>#N/A</v>
      </c>
      <c r="J227" s="48"/>
      <c r="K227" s="48"/>
      <c r="L227" s="48"/>
      <c r="M227" s="394" t="e">
        <f t="shared" si="55"/>
        <v>#N/A</v>
      </c>
      <c r="N227" s="35" t="e">
        <f>LARGE(I227:I229,3)&amp;","&amp;LARGE(I227:I229,2)&amp;","&amp;LARGE(I227:I229,1)</f>
        <v>#N/A</v>
      </c>
      <c r="O227" s="35" t="e">
        <f>LARGE(M227:M229,3)&amp;","&amp;LARGE(M227:M229,2)&amp;","&amp;LARGE(M227:M229,1)</f>
        <v>#N/A</v>
      </c>
    </row>
    <row r="228" spans="1:15" x14ac:dyDescent="0.2">
      <c r="A228" s="18" t="str">
        <f>A227</f>
        <v>3</v>
      </c>
      <c r="B228" s="45"/>
      <c r="C228" s="45"/>
      <c r="D228" s="45"/>
      <c r="E228" s="45"/>
      <c r="F228" s="49"/>
      <c r="G228" s="49"/>
      <c r="H228" s="49"/>
      <c r="I228" s="237" t="e">
        <f t="shared" si="54"/>
        <v>#N/A</v>
      </c>
      <c r="J228" s="49"/>
      <c r="K228" s="49"/>
      <c r="L228" s="49"/>
      <c r="M228" s="394" t="e">
        <f t="shared" si="55"/>
        <v>#N/A</v>
      </c>
    </row>
    <row r="229" spans="1:15" ht="13.5" thickBot="1" x14ac:dyDescent="0.25">
      <c r="A229" s="18" t="str">
        <f>A228</f>
        <v>3</v>
      </c>
      <c r="B229" s="45"/>
      <c r="E229" s="51"/>
      <c r="F229" s="50"/>
      <c r="G229" s="50"/>
      <c r="H229" s="50"/>
      <c r="I229" s="237" t="e">
        <f t="shared" si="54"/>
        <v>#N/A</v>
      </c>
      <c r="J229" s="50"/>
      <c r="K229" s="50"/>
      <c r="L229" s="50"/>
      <c r="M229" s="394" t="e">
        <f t="shared" si="55"/>
        <v>#N/A</v>
      </c>
    </row>
    <row r="230" spans="1:15" ht="13.5" thickTop="1" x14ac:dyDescent="0.2">
      <c r="A230" s="42" t="str">
        <f>'Ballot Entry'!A221</f>
        <v>3</v>
      </c>
      <c r="B230" s="43">
        <f>'Ballot Entry'!B221</f>
        <v>503</v>
      </c>
      <c r="C230" s="43" t="s">
        <v>285</v>
      </c>
      <c r="D230" s="44"/>
      <c r="E230" s="45"/>
      <c r="F230" s="44"/>
      <c r="G230" s="44"/>
      <c r="H230" s="44"/>
      <c r="I230" s="237" t="e">
        <f t="shared" ref="I230:I338" si="104">VLOOKUP(F230,Plookup,4,)</f>
        <v>#N/A</v>
      </c>
      <c r="J230" s="44"/>
      <c r="K230" s="44"/>
      <c r="L230" s="44"/>
      <c r="M230" s="394" t="e">
        <f t="shared" ref="M230:M338" si="105">VLOOKUP(J230,DLookup,4,)</f>
        <v>#N/A</v>
      </c>
      <c r="N230" s="35" t="e">
        <f>LARGE(I230:I232,3)&amp;","&amp;LARGE(I230:I232,2)&amp;","&amp;LARGE(I230:I232,1)</f>
        <v>#N/A</v>
      </c>
      <c r="O230" s="35" t="e">
        <f>LARGE(M230:M232,3)&amp;","&amp;LARGE(M230:M232,2)&amp;","&amp;LARGE(M230:M232,1)</f>
        <v>#N/A</v>
      </c>
    </row>
    <row r="231" spans="1:15" x14ac:dyDescent="0.2">
      <c r="A231" s="18" t="str">
        <f>A230</f>
        <v>3</v>
      </c>
      <c r="B231" s="45"/>
      <c r="C231" s="45"/>
      <c r="D231" s="45"/>
      <c r="E231" s="45"/>
      <c r="F231" s="46"/>
      <c r="G231" s="46"/>
      <c r="H231" s="46"/>
      <c r="I231" s="237" t="e">
        <f t="shared" si="104"/>
        <v>#N/A</v>
      </c>
      <c r="J231" s="46"/>
      <c r="K231" s="46"/>
      <c r="L231" s="46"/>
      <c r="M231" s="394" t="e">
        <f t="shared" si="105"/>
        <v>#N/A</v>
      </c>
    </row>
    <row r="232" spans="1:15" ht="13.5" thickBot="1" x14ac:dyDescent="0.25">
      <c r="A232" s="18" t="str">
        <f>A231</f>
        <v>3</v>
      </c>
      <c r="B232" s="45"/>
      <c r="E232" s="45"/>
      <c r="F232" s="47"/>
      <c r="G232" s="47"/>
      <c r="H232" s="47"/>
      <c r="I232" s="237" t="e">
        <f t="shared" si="104"/>
        <v>#N/A</v>
      </c>
      <c r="J232" s="47"/>
      <c r="K232" s="47"/>
      <c r="L232" s="47"/>
      <c r="M232" s="394" t="e">
        <f t="shared" si="105"/>
        <v>#N/A</v>
      </c>
    </row>
    <row r="233" spans="1:15" ht="13.5" thickTop="1" x14ac:dyDescent="0.2">
      <c r="A233" s="42" t="str">
        <f>'Ballot Entry'!A224</f>
        <v>3</v>
      </c>
      <c r="B233" s="43">
        <f>'Ballot Entry'!B224</f>
        <v>504</v>
      </c>
      <c r="C233" s="43" t="s">
        <v>285</v>
      </c>
      <c r="D233" s="48"/>
      <c r="E233" s="45"/>
      <c r="F233" s="48"/>
      <c r="G233" s="48"/>
      <c r="H233" s="48"/>
      <c r="I233" s="237" t="e">
        <f t="shared" si="104"/>
        <v>#N/A</v>
      </c>
      <c r="J233" s="48"/>
      <c r="K233" s="48"/>
      <c r="L233" s="48"/>
      <c r="M233" s="394" t="e">
        <f t="shared" si="105"/>
        <v>#N/A</v>
      </c>
      <c r="N233" s="35" t="e">
        <f>LARGE(I233:I235,3)&amp;","&amp;LARGE(I233:I235,2)&amp;","&amp;LARGE(I233:I235,1)</f>
        <v>#N/A</v>
      </c>
      <c r="O233" s="35" t="e">
        <f>LARGE(M233:M235,3)&amp;","&amp;LARGE(M233:M235,2)&amp;","&amp;LARGE(M233:M235,1)</f>
        <v>#N/A</v>
      </c>
    </row>
    <row r="234" spans="1:15" x14ac:dyDescent="0.2">
      <c r="A234" s="18" t="str">
        <f>A233</f>
        <v>3</v>
      </c>
      <c r="B234" s="45"/>
      <c r="C234" s="45"/>
      <c r="D234" s="45"/>
      <c r="E234" s="45"/>
      <c r="F234" s="49"/>
      <c r="G234" s="49"/>
      <c r="H234" s="49"/>
      <c r="I234" s="237" t="e">
        <f t="shared" si="104"/>
        <v>#N/A</v>
      </c>
      <c r="J234" s="49"/>
      <c r="K234" s="49"/>
      <c r="L234" s="49"/>
      <c r="M234" s="394" t="e">
        <f t="shared" si="105"/>
        <v>#N/A</v>
      </c>
    </row>
    <row r="235" spans="1:15" ht="13.5" thickBot="1" x14ac:dyDescent="0.25">
      <c r="A235" s="18" t="str">
        <f>A234</f>
        <v>3</v>
      </c>
      <c r="B235" s="45"/>
      <c r="E235" s="51"/>
      <c r="F235" s="50"/>
      <c r="G235" s="50"/>
      <c r="H235" s="50"/>
      <c r="I235" s="237" t="e">
        <f t="shared" si="104"/>
        <v>#N/A</v>
      </c>
      <c r="J235" s="50"/>
      <c r="K235" s="50"/>
      <c r="L235" s="50"/>
      <c r="M235" s="394" t="e">
        <f t="shared" si="105"/>
        <v>#N/A</v>
      </c>
    </row>
    <row r="236" spans="1:15" ht="13.5" thickTop="1" x14ac:dyDescent="0.2">
      <c r="A236" s="42" t="str">
        <f>'Ballot Entry'!A227</f>
        <v>3</v>
      </c>
      <c r="B236" s="43">
        <f>'Ballot Entry'!B227</f>
        <v>601</v>
      </c>
      <c r="C236" s="43" t="s">
        <v>285</v>
      </c>
      <c r="D236" s="44"/>
      <c r="E236" s="45"/>
      <c r="F236" s="44"/>
      <c r="G236" s="44"/>
      <c r="H236" s="44"/>
      <c r="I236" s="237" t="e">
        <f t="shared" si="104"/>
        <v>#N/A</v>
      </c>
      <c r="J236" s="44"/>
      <c r="K236" s="44"/>
      <c r="L236" s="44"/>
      <c r="M236" s="394" t="e">
        <f t="shared" si="105"/>
        <v>#N/A</v>
      </c>
      <c r="N236" s="35" t="e">
        <f>LARGE(I236:I238,3)&amp;","&amp;LARGE(I236:I238,2)&amp;","&amp;LARGE(I236:I238,1)</f>
        <v>#N/A</v>
      </c>
      <c r="O236" s="35" t="e">
        <f>LARGE(M236:M238,3)&amp;","&amp;LARGE(M236:M238,2)&amp;","&amp;LARGE(M236:M238,1)</f>
        <v>#N/A</v>
      </c>
    </row>
    <row r="237" spans="1:15" x14ac:dyDescent="0.2">
      <c r="A237" s="18" t="str">
        <f>A236</f>
        <v>3</v>
      </c>
      <c r="B237" s="45"/>
      <c r="C237" s="45"/>
      <c r="D237" s="45"/>
      <c r="E237" s="45"/>
      <c r="F237" s="46"/>
      <c r="G237" s="46"/>
      <c r="H237" s="46"/>
      <c r="I237" s="237" t="e">
        <f t="shared" si="104"/>
        <v>#N/A</v>
      </c>
      <c r="J237" s="46"/>
      <c r="K237" s="46"/>
      <c r="L237" s="46"/>
      <c r="M237" s="394" t="e">
        <f t="shared" si="105"/>
        <v>#N/A</v>
      </c>
    </row>
    <row r="238" spans="1:15" ht="13.5" thickBot="1" x14ac:dyDescent="0.25">
      <c r="A238" s="18" t="str">
        <f>A237</f>
        <v>3</v>
      </c>
      <c r="B238" s="45"/>
      <c r="E238" s="45"/>
      <c r="F238" s="47"/>
      <c r="G238" s="47"/>
      <c r="H238" s="47"/>
      <c r="I238" s="237" t="e">
        <f t="shared" si="104"/>
        <v>#N/A</v>
      </c>
      <c r="J238" s="47"/>
      <c r="K238" s="47"/>
      <c r="L238" s="47"/>
      <c r="M238" s="394" t="e">
        <f t="shared" si="105"/>
        <v>#N/A</v>
      </c>
    </row>
    <row r="239" spans="1:15" ht="13.5" thickTop="1" x14ac:dyDescent="0.2">
      <c r="A239" s="42" t="str">
        <f>'Ballot Entry'!A230</f>
        <v>3</v>
      </c>
      <c r="B239" s="43">
        <f>'Ballot Entry'!B230</f>
        <v>602</v>
      </c>
      <c r="C239" s="43" t="s">
        <v>285</v>
      </c>
      <c r="D239" s="48"/>
      <c r="E239" s="45"/>
      <c r="F239" s="48"/>
      <c r="G239" s="48"/>
      <c r="H239" s="48"/>
      <c r="I239" s="237" t="e">
        <f t="shared" si="104"/>
        <v>#N/A</v>
      </c>
      <c r="J239" s="48"/>
      <c r="K239" s="48"/>
      <c r="L239" s="48"/>
      <c r="M239" s="394" t="e">
        <f t="shared" si="105"/>
        <v>#N/A</v>
      </c>
      <c r="N239" s="35" t="e">
        <f>LARGE(I239:I241,3)&amp;","&amp;LARGE(I239:I241,2)&amp;","&amp;LARGE(I239:I241,1)</f>
        <v>#N/A</v>
      </c>
      <c r="O239" s="35" t="e">
        <f>LARGE(M239:M241,3)&amp;","&amp;LARGE(M239:M241,2)&amp;","&amp;LARGE(M239:M241,1)</f>
        <v>#N/A</v>
      </c>
    </row>
    <row r="240" spans="1:15" x14ac:dyDescent="0.2">
      <c r="A240" s="18" t="str">
        <f>A239</f>
        <v>3</v>
      </c>
      <c r="B240" s="45"/>
      <c r="C240" s="45"/>
      <c r="D240" s="45"/>
      <c r="E240" s="45"/>
      <c r="F240" s="49"/>
      <c r="G240" s="49"/>
      <c r="H240" s="49"/>
      <c r="I240" s="237" t="e">
        <f t="shared" si="104"/>
        <v>#N/A</v>
      </c>
      <c r="J240" s="49"/>
      <c r="K240" s="49"/>
      <c r="L240" s="49"/>
      <c r="M240" s="394" t="e">
        <f t="shared" si="105"/>
        <v>#N/A</v>
      </c>
    </row>
    <row r="241" spans="1:15" ht="13.5" thickBot="1" x14ac:dyDescent="0.25">
      <c r="A241" s="18" t="str">
        <f>A240</f>
        <v>3</v>
      </c>
      <c r="B241" s="45"/>
      <c r="E241" s="51"/>
      <c r="F241" s="50"/>
      <c r="G241" s="50"/>
      <c r="H241" s="50"/>
      <c r="I241" s="237" t="e">
        <f t="shared" si="104"/>
        <v>#N/A</v>
      </c>
      <c r="J241" s="50"/>
      <c r="K241" s="50"/>
      <c r="L241" s="50"/>
      <c r="M241" s="394" t="e">
        <f t="shared" si="105"/>
        <v>#N/A</v>
      </c>
    </row>
    <row r="242" spans="1:15" ht="13.5" thickTop="1" x14ac:dyDescent="0.2">
      <c r="A242" s="42" t="str">
        <f>'Ballot Entry'!A233</f>
        <v>3</v>
      </c>
      <c r="B242" s="43">
        <f>'Ballot Entry'!B233</f>
        <v>603</v>
      </c>
      <c r="C242" s="43" t="s">
        <v>285</v>
      </c>
      <c r="D242" s="44"/>
      <c r="E242" s="45"/>
      <c r="F242" s="44"/>
      <c r="G242" s="44"/>
      <c r="H242" s="44"/>
      <c r="I242" s="237" t="e">
        <f t="shared" si="104"/>
        <v>#N/A</v>
      </c>
      <c r="J242" s="44"/>
      <c r="K242" s="44"/>
      <c r="L242" s="44"/>
      <c r="M242" s="394" t="e">
        <f t="shared" si="105"/>
        <v>#N/A</v>
      </c>
      <c r="N242" s="35" t="e">
        <f>LARGE(I242:I244,3)&amp;","&amp;LARGE(I242:I244,2)&amp;","&amp;LARGE(I242:I244,1)</f>
        <v>#N/A</v>
      </c>
      <c r="O242" s="35" t="e">
        <f>LARGE(M242:M244,3)&amp;","&amp;LARGE(M242:M244,2)&amp;","&amp;LARGE(M242:M244,1)</f>
        <v>#N/A</v>
      </c>
    </row>
    <row r="243" spans="1:15" x14ac:dyDescent="0.2">
      <c r="A243" s="18" t="str">
        <f>A242</f>
        <v>3</v>
      </c>
      <c r="B243" s="45"/>
      <c r="C243" s="45"/>
      <c r="D243" s="45"/>
      <c r="E243" s="45"/>
      <c r="F243" s="46"/>
      <c r="G243" s="46"/>
      <c r="H243" s="46"/>
      <c r="I243" s="237" t="e">
        <f t="shared" si="104"/>
        <v>#N/A</v>
      </c>
      <c r="J243" s="46"/>
      <c r="K243" s="46"/>
      <c r="L243" s="46"/>
      <c r="M243" s="394" t="e">
        <f t="shared" si="105"/>
        <v>#N/A</v>
      </c>
    </row>
    <row r="244" spans="1:15" ht="13.5" thickBot="1" x14ac:dyDescent="0.25">
      <c r="A244" s="18" t="str">
        <f>A243</f>
        <v>3</v>
      </c>
      <c r="B244" s="45"/>
      <c r="E244" s="45"/>
      <c r="F244" s="47"/>
      <c r="G244" s="47"/>
      <c r="H244" s="47"/>
      <c r="I244" s="237" t="e">
        <f t="shared" si="104"/>
        <v>#N/A</v>
      </c>
      <c r="J244" s="47"/>
      <c r="K244" s="47"/>
      <c r="L244" s="47"/>
      <c r="M244" s="394" t="e">
        <f t="shared" si="105"/>
        <v>#N/A</v>
      </c>
    </row>
    <row r="245" spans="1:15" ht="13.5" thickTop="1" x14ac:dyDescent="0.2">
      <c r="A245" s="42" t="str">
        <f>'Ballot Entry'!A236</f>
        <v>3</v>
      </c>
      <c r="B245" s="43">
        <f>'Ballot Entry'!B236</f>
        <v>604</v>
      </c>
      <c r="C245" s="43" t="s">
        <v>285</v>
      </c>
      <c r="D245" s="48"/>
      <c r="E245" s="45"/>
      <c r="F245" s="48"/>
      <c r="G245" s="48"/>
      <c r="H245" s="48"/>
      <c r="I245" s="237" t="e">
        <f t="shared" si="104"/>
        <v>#N/A</v>
      </c>
      <c r="J245" s="48"/>
      <c r="K245" s="48"/>
      <c r="L245" s="48"/>
      <c r="M245" s="394" t="e">
        <f t="shared" si="105"/>
        <v>#N/A</v>
      </c>
      <c r="N245" s="35" t="e">
        <f>LARGE(I245:I247,3)&amp;","&amp;LARGE(I245:I247,2)&amp;","&amp;LARGE(I245:I247,1)</f>
        <v>#N/A</v>
      </c>
      <c r="O245" s="35" t="e">
        <f>LARGE(M245:M247,3)&amp;","&amp;LARGE(M245:M247,2)&amp;","&amp;LARGE(M245:M247,1)</f>
        <v>#N/A</v>
      </c>
    </row>
    <row r="246" spans="1:15" x14ac:dyDescent="0.2">
      <c r="A246" s="18" t="str">
        <f>A245</f>
        <v>3</v>
      </c>
      <c r="B246" s="45"/>
      <c r="C246" s="45"/>
      <c r="D246" s="45"/>
      <c r="E246" s="45"/>
      <c r="F246" s="49"/>
      <c r="G246" s="49"/>
      <c r="H246" s="49"/>
      <c r="I246" s="237" t="e">
        <f t="shared" si="104"/>
        <v>#N/A</v>
      </c>
      <c r="J246" s="49"/>
      <c r="K246" s="49"/>
      <c r="L246" s="49"/>
      <c r="M246" s="394" t="e">
        <f t="shared" si="105"/>
        <v>#N/A</v>
      </c>
    </row>
    <row r="247" spans="1:15" ht="13.5" thickBot="1" x14ac:dyDescent="0.25">
      <c r="A247" s="18" t="str">
        <f>A246</f>
        <v>3</v>
      </c>
      <c r="B247" s="45"/>
      <c r="E247" s="51"/>
      <c r="F247" s="50"/>
      <c r="G247" s="50"/>
      <c r="H247" s="50"/>
      <c r="I247" s="237" t="e">
        <f t="shared" si="104"/>
        <v>#N/A</v>
      </c>
      <c r="J247" s="50"/>
      <c r="K247" s="50"/>
      <c r="L247" s="50"/>
      <c r="M247" s="394" t="e">
        <f t="shared" si="105"/>
        <v>#N/A</v>
      </c>
    </row>
    <row r="248" spans="1:15" ht="13.5" thickTop="1" x14ac:dyDescent="0.2">
      <c r="A248" s="42" t="str">
        <f>'Ballot Entry'!A239</f>
        <v>3</v>
      </c>
      <c r="B248" s="43" t="str">
        <f>'Ballot Entry'!B239</f>
        <v>MCR - 7th</v>
      </c>
      <c r="C248" s="43" t="s">
        <v>285</v>
      </c>
      <c r="D248" s="44"/>
      <c r="E248" s="45"/>
      <c r="F248" s="44"/>
      <c r="G248" s="44"/>
      <c r="H248" s="44"/>
      <c r="I248" s="237" t="e">
        <f t="shared" si="104"/>
        <v>#N/A</v>
      </c>
      <c r="J248" s="44"/>
      <c r="K248" s="44"/>
      <c r="L248" s="44"/>
      <c r="M248" s="394" t="e">
        <f t="shared" si="105"/>
        <v>#N/A</v>
      </c>
      <c r="N248" s="35" t="e">
        <f>LARGE(I248:I250,3)&amp;","&amp;LARGE(I248:I250,2)&amp;","&amp;LARGE(I248:I250,1)</f>
        <v>#N/A</v>
      </c>
      <c r="O248" s="35" t="e">
        <f>LARGE(M248:M250,3)&amp;","&amp;LARGE(M248:M250,2)&amp;","&amp;LARGE(M248:M250,1)</f>
        <v>#N/A</v>
      </c>
    </row>
    <row r="249" spans="1:15" x14ac:dyDescent="0.2">
      <c r="A249" s="18" t="str">
        <f>A248</f>
        <v>3</v>
      </c>
      <c r="B249" s="45"/>
      <c r="C249" s="45"/>
      <c r="D249" s="45"/>
      <c r="E249" s="45"/>
      <c r="F249" s="46"/>
      <c r="G249" s="46"/>
      <c r="H249" s="46"/>
      <c r="I249" s="237" t="e">
        <f t="shared" si="104"/>
        <v>#N/A</v>
      </c>
      <c r="J249" s="46"/>
      <c r="K249" s="46"/>
      <c r="L249" s="46"/>
      <c r="M249" s="394" t="e">
        <f t="shared" si="105"/>
        <v>#N/A</v>
      </c>
    </row>
    <row r="250" spans="1:15" ht="13.5" thickBot="1" x14ac:dyDescent="0.25">
      <c r="A250" s="18" t="str">
        <f>A249</f>
        <v>3</v>
      </c>
      <c r="B250" s="45"/>
      <c r="E250" s="45"/>
      <c r="F250" s="47"/>
      <c r="G250" s="47"/>
      <c r="H250" s="47"/>
      <c r="I250" s="237" t="e">
        <f t="shared" si="104"/>
        <v>#N/A</v>
      </c>
      <c r="J250" s="47"/>
      <c r="K250" s="47"/>
      <c r="L250" s="47"/>
      <c r="M250" s="394" t="e">
        <f t="shared" si="105"/>
        <v>#N/A</v>
      </c>
    </row>
    <row r="251" spans="1:15" ht="13.5" thickTop="1" x14ac:dyDescent="0.2">
      <c r="A251" s="42" t="str">
        <f>'Ballot Entry'!A242</f>
        <v>Hide</v>
      </c>
      <c r="B251" s="43">
        <f>'Ballot Entry'!B242</f>
        <v>0</v>
      </c>
      <c r="C251" s="43" t="s">
        <v>285</v>
      </c>
      <c r="D251" s="48"/>
      <c r="E251" s="45"/>
      <c r="F251" s="48"/>
      <c r="G251" s="48"/>
      <c r="H251" s="48"/>
      <c r="I251" s="237" t="e">
        <f t="shared" si="104"/>
        <v>#N/A</v>
      </c>
      <c r="J251" s="48"/>
      <c r="K251" s="48"/>
      <c r="L251" s="48"/>
      <c r="M251" s="394" t="e">
        <f t="shared" si="105"/>
        <v>#N/A</v>
      </c>
      <c r="N251" s="35" t="e">
        <f>LARGE(I251:I253,3)&amp;","&amp;LARGE(I251:I253,2)&amp;","&amp;LARGE(I251:I253,1)</f>
        <v>#N/A</v>
      </c>
      <c r="O251" s="35" t="e">
        <f>LARGE(M251:M253,3)&amp;","&amp;LARGE(M251:M253,2)&amp;","&amp;LARGE(M251:M253,1)</f>
        <v>#N/A</v>
      </c>
    </row>
    <row r="252" spans="1:15" x14ac:dyDescent="0.2">
      <c r="A252" s="18" t="str">
        <f>A251</f>
        <v>Hide</v>
      </c>
      <c r="B252" s="45"/>
      <c r="C252" s="45"/>
      <c r="D252" s="45"/>
      <c r="E252" s="45"/>
      <c r="F252" s="49"/>
      <c r="G252" s="49"/>
      <c r="H252" s="49"/>
      <c r="I252" s="237" t="e">
        <f t="shared" si="104"/>
        <v>#N/A</v>
      </c>
      <c r="J252" s="49"/>
      <c r="K252" s="49"/>
      <c r="L252" s="49"/>
      <c r="M252" s="394" t="e">
        <f t="shared" si="105"/>
        <v>#N/A</v>
      </c>
    </row>
    <row r="253" spans="1:15" ht="13.5" thickBot="1" x14ac:dyDescent="0.25">
      <c r="A253" s="18" t="str">
        <f>A252</f>
        <v>Hide</v>
      </c>
      <c r="B253" s="45"/>
      <c r="E253" s="51"/>
      <c r="F253" s="50"/>
      <c r="G253" s="50"/>
      <c r="H253" s="50"/>
      <c r="I253" s="237" t="e">
        <f t="shared" si="104"/>
        <v>#N/A</v>
      </c>
      <c r="J253" s="50"/>
      <c r="K253" s="50"/>
      <c r="L253" s="50"/>
      <c r="M253" s="394" t="e">
        <f t="shared" si="105"/>
        <v>#N/A</v>
      </c>
    </row>
    <row r="254" spans="1:15" ht="13.5" thickTop="1" x14ac:dyDescent="0.2">
      <c r="A254" s="42" t="str">
        <f>'Ballot Entry'!A245</f>
        <v>Hide</v>
      </c>
      <c r="B254" s="43">
        <f>'Ballot Entry'!B245</f>
        <v>0</v>
      </c>
      <c r="C254" s="43" t="s">
        <v>285</v>
      </c>
      <c r="D254" s="44"/>
      <c r="E254" s="45"/>
      <c r="F254" s="44"/>
      <c r="G254" s="44"/>
      <c r="H254" s="44"/>
      <c r="I254" s="237" t="e">
        <f t="shared" si="104"/>
        <v>#N/A</v>
      </c>
      <c r="J254" s="44"/>
      <c r="K254" s="44"/>
      <c r="L254" s="44"/>
      <c r="M254" s="394" t="e">
        <f t="shared" si="105"/>
        <v>#N/A</v>
      </c>
      <c r="N254" s="35" t="e">
        <f>LARGE(I254:I256,3)&amp;","&amp;LARGE(I254:I256,2)&amp;","&amp;LARGE(I254:I256,1)</f>
        <v>#N/A</v>
      </c>
      <c r="O254" s="35" t="e">
        <f>LARGE(M254:M256,3)&amp;","&amp;LARGE(M254:M256,2)&amp;","&amp;LARGE(M254:M256,1)</f>
        <v>#N/A</v>
      </c>
    </row>
    <row r="255" spans="1:15" x14ac:dyDescent="0.2">
      <c r="A255" s="18" t="str">
        <f>A254</f>
        <v>Hide</v>
      </c>
      <c r="B255" s="45"/>
      <c r="C255" s="45"/>
      <c r="D255" s="45"/>
      <c r="E255" s="45"/>
      <c r="F255" s="46"/>
      <c r="G255" s="46"/>
      <c r="H255" s="46"/>
      <c r="I255" s="237" t="e">
        <f t="shared" si="104"/>
        <v>#N/A</v>
      </c>
      <c r="J255" s="46"/>
      <c r="K255" s="46"/>
      <c r="L255" s="46"/>
      <c r="M255" s="394" t="e">
        <f t="shared" si="105"/>
        <v>#N/A</v>
      </c>
    </row>
    <row r="256" spans="1:15" ht="13.5" thickBot="1" x14ac:dyDescent="0.25">
      <c r="A256" s="18" t="str">
        <f>A255</f>
        <v>Hide</v>
      </c>
      <c r="B256" s="45"/>
      <c r="E256" s="45"/>
      <c r="F256" s="47"/>
      <c r="G256" s="47"/>
      <c r="H256" s="47"/>
      <c r="I256" s="237" t="e">
        <f t="shared" si="104"/>
        <v>#N/A</v>
      </c>
      <c r="J256" s="47"/>
      <c r="K256" s="47"/>
      <c r="L256" s="47"/>
      <c r="M256" s="394" t="e">
        <f t="shared" si="105"/>
        <v>#N/A</v>
      </c>
    </row>
    <row r="257" spans="1:15" ht="13.5" thickTop="1" x14ac:dyDescent="0.2">
      <c r="A257" s="42" t="str">
        <f>'Ballot Entry'!A248</f>
        <v>Hide</v>
      </c>
      <c r="B257" s="43">
        <f>'Ballot Entry'!B248</f>
        <v>0</v>
      </c>
      <c r="C257" s="43" t="s">
        <v>285</v>
      </c>
      <c r="D257" s="48"/>
      <c r="E257" s="45"/>
      <c r="F257" s="48"/>
      <c r="G257" s="48"/>
      <c r="H257" s="48"/>
      <c r="I257" s="237" t="e">
        <f t="shared" si="104"/>
        <v>#N/A</v>
      </c>
      <c r="J257" s="48"/>
      <c r="K257" s="48"/>
      <c r="L257" s="48"/>
      <c r="M257" s="394" t="e">
        <f t="shared" si="105"/>
        <v>#N/A</v>
      </c>
      <c r="N257" s="35" t="e">
        <f>LARGE(I257:I259,3)&amp;","&amp;LARGE(I257:I259,2)&amp;","&amp;LARGE(I257:I259,1)</f>
        <v>#N/A</v>
      </c>
      <c r="O257" s="35" t="e">
        <f>LARGE(M257:M259,3)&amp;","&amp;LARGE(M257:M259,2)&amp;","&amp;LARGE(M257:M259,1)</f>
        <v>#N/A</v>
      </c>
    </row>
    <row r="258" spans="1:15" x14ac:dyDescent="0.2">
      <c r="A258" s="18" t="str">
        <f>A257</f>
        <v>Hide</v>
      </c>
      <c r="B258" s="45"/>
      <c r="C258" s="45"/>
      <c r="D258" s="45"/>
      <c r="E258" s="45"/>
      <c r="F258" s="49"/>
      <c r="G258" s="49"/>
      <c r="H258" s="49"/>
      <c r="I258" s="237" t="e">
        <f t="shared" si="104"/>
        <v>#N/A</v>
      </c>
      <c r="J258" s="49"/>
      <c r="K258" s="49"/>
      <c r="L258" s="49"/>
      <c r="M258" s="394" t="e">
        <f t="shared" si="105"/>
        <v>#N/A</v>
      </c>
    </row>
    <row r="259" spans="1:15" ht="13.5" thickBot="1" x14ac:dyDescent="0.25">
      <c r="A259" s="18" t="str">
        <f>A258</f>
        <v>Hide</v>
      </c>
      <c r="B259" s="45"/>
      <c r="E259" s="51"/>
      <c r="F259" s="50"/>
      <c r="G259" s="50"/>
      <c r="H259" s="50"/>
      <c r="I259" s="237" t="e">
        <f t="shared" si="104"/>
        <v>#N/A</v>
      </c>
      <c r="J259" s="50"/>
      <c r="K259" s="50"/>
      <c r="L259" s="50"/>
      <c r="M259" s="394" t="e">
        <f t="shared" si="105"/>
        <v>#N/A</v>
      </c>
    </row>
    <row r="260" spans="1:15" ht="13.5" thickTop="1" x14ac:dyDescent="0.2">
      <c r="A260" s="42" t="str">
        <f>'Ballot Entry'!A251</f>
        <v>Hide</v>
      </c>
      <c r="B260" s="43">
        <f>'Ballot Entry'!B251</f>
        <v>0</v>
      </c>
      <c r="C260" s="43" t="s">
        <v>285</v>
      </c>
      <c r="D260" s="44"/>
      <c r="E260" s="45"/>
      <c r="F260" s="44"/>
      <c r="G260" s="44"/>
      <c r="H260" s="44"/>
      <c r="I260" s="237" t="e">
        <f t="shared" si="104"/>
        <v>#N/A</v>
      </c>
      <c r="J260" s="44"/>
      <c r="K260" s="44"/>
      <c r="L260" s="44"/>
      <c r="M260" s="394" t="e">
        <f t="shared" si="105"/>
        <v>#N/A</v>
      </c>
      <c r="N260" s="35" t="e">
        <f>LARGE(I260:I262,3)&amp;","&amp;LARGE(I260:I262,2)&amp;","&amp;LARGE(I260:I262,1)</f>
        <v>#N/A</v>
      </c>
      <c r="O260" s="35" t="e">
        <f>LARGE(M260:M262,3)&amp;","&amp;LARGE(M260:M262,2)&amp;","&amp;LARGE(M260:M262,1)</f>
        <v>#N/A</v>
      </c>
    </row>
    <row r="261" spans="1:15" x14ac:dyDescent="0.2">
      <c r="A261" s="18" t="str">
        <f>A260</f>
        <v>Hide</v>
      </c>
      <c r="B261" s="45"/>
      <c r="C261" s="45"/>
      <c r="D261" s="45"/>
      <c r="E261" s="45"/>
      <c r="F261" s="46"/>
      <c r="G261" s="46"/>
      <c r="H261" s="46"/>
      <c r="I261" s="237" t="e">
        <f t="shared" si="104"/>
        <v>#N/A</v>
      </c>
      <c r="J261" s="46"/>
      <c r="K261" s="46"/>
      <c r="L261" s="46"/>
      <c r="M261" s="394" t="e">
        <f t="shared" si="105"/>
        <v>#N/A</v>
      </c>
    </row>
    <row r="262" spans="1:15" ht="13.5" thickBot="1" x14ac:dyDescent="0.25">
      <c r="A262" s="18" t="str">
        <f>A261</f>
        <v>Hide</v>
      </c>
      <c r="B262" s="45"/>
      <c r="E262" s="45"/>
      <c r="F262" s="47"/>
      <c r="G262" s="47"/>
      <c r="H262" s="47"/>
      <c r="I262" s="237" t="e">
        <f t="shared" si="104"/>
        <v>#N/A</v>
      </c>
      <c r="J262" s="47"/>
      <c r="K262" s="47"/>
      <c r="L262" s="47"/>
      <c r="M262" s="394" t="e">
        <f t="shared" si="105"/>
        <v>#N/A</v>
      </c>
    </row>
    <row r="263" spans="1:15" ht="13.5" thickTop="1" x14ac:dyDescent="0.2">
      <c r="A263" s="42" t="str">
        <f>'Ballot Entry'!A254</f>
        <v>Hide</v>
      </c>
      <c r="B263" s="43">
        <f>'Ballot Entry'!B254</f>
        <v>0</v>
      </c>
      <c r="C263" s="43" t="s">
        <v>285</v>
      </c>
      <c r="D263" s="48"/>
      <c r="E263" s="45"/>
      <c r="F263" s="48"/>
      <c r="G263" s="48"/>
      <c r="H263" s="48"/>
      <c r="I263" s="237" t="e">
        <f t="shared" si="104"/>
        <v>#N/A</v>
      </c>
      <c r="J263" s="48"/>
      <c r="K263" s="48"/>
      <c r="L263" s="48"/>
      <c r="M263" s="394" t="e">
        <f t="shared" si="105"/>
        <v>#N/A</v>
      </c>
      <c r="N263" s="35" t="e">
        <f>LARGE(I263:I265,3)&amp;","&amp;LARGE(I263:I265,2)&amp;","&amp;LARGE(I263:I265,1)</f>
        <v>#N/A</v>
      </c>
      <c r="O263" s="35" t="e">
        <f>LARGE(M263:M265,3)&amp;","&amp;LARGE(M263:M265,2)&amp;","&amp;LARGE(M263:M265,1)</f>
        <v>#N/A</v>
      </c>
    </row>
    <row r="264" spans="1:15" x14ac:dyDescent="0.2">
      <c r="A264" s="18" t="str">
        <f>A263</f>
        <v>Hide</v>
      </c>
      <c r="B264" s="45"/>
      <c r="C264" s="45"/>
      <c r="D264" s="45"/>
      <c r="E264" s="45"/>
      <c r="F264" s="49"/>
      <c r="G264" s="49"/>
      <c r="H264" s="49"/>
      <c r="I264" s="237" t="e">
        <f t="shared" si="104"/>
        <v>#N/A</v>
      </c>
      <c r="J264" s="49"/>
      <c r="K264" s="49"/>
      <c r="L264" s="49"/>
      <c r="M264" s="394" t="e">
        <f t="shared" si="105"/>
        <v>#N/A</v>
      </c>
    </row>
    <row r="265" spans="1:15" ht="13.5" thickBot="1" x14ac:dyDescent="0.25">
      <c r="A265" s="18" t="str">
        <f>A264</f>
        <v>Hide</v>
      </c>
      <c r="B265" s="45"/>
      <c r="E265" s="51"/>
      <c r="F265" s="50"/>
      <c r="G265" s="50"/>
      <c r="H265" s="50"/>
      <c r="I265" s="237" t="e">
        <f t="shared" si="104"/>
        <v>#N/A</v>
      </c>
      <c r="J265" s="50"/>
      <c r="K265" s="50"/>
      <c r="L265" s="50"/>
      <c r="M265" s="394" t="e">
        <f t="shared" si="105"/>
        <v>#N/A</v>
      </c>
    </row>
    <row r="266" spans="1:15" ht="13.5" thickTop="1" x14ac:dyDescent="0.2">
      <c r="A266" s="42" t="str">
        <f>'Ballot Entry'!A257</f>
        <v>Hide</v>
      </c>
      <c r="B266" s="43">
        <f>'Ballot Entry'!B257</f>
        <v>0</v>
      </c>
      <c r="C266" s="43" t="s">
        <v>285</v>
      </c>
      <c r="D266" s="44"/>
      <c r="E266" s="45"/>
      <c r="F266" s="44"/>
      <c r="G266" s="44"/>
      <c r="H266" s="44"/>
      <c r="I266" s="237" t="e">
        <f t="shared" si="104"/>
        <v>#N/A</v>
      </c>
      <c r="J266" s="44"/>
      <c r="K266" s="44"/>
      <c r="L266" s="44"/>
      <c r="M266" s="394" t="e">
        <f t="shared" si="105"/>
        <v>#N/A</v>
      </c>
      <c r="N266" s="35" t="e">
        <f>LARGE(I266:I268,3)&amp;","&amp;LARGE(I266:I268,2)&amp;","&amp;LARGE(I266:I268,1)</f>
        <v>#N/A</v>
      </c>
      <c r="O266" s="35" t="e">
        <f>LARGE(M266:M268,3)&amp;","&amp;LARGE(M266:M268,2)&amp;","&amp;LARGE(M266:M268,1)</f>
        <v>#N/A</v>
      </c>
    </row>
    <row r="267" spans="1:15" x14ac:dyDescent="0.2">
      <c r="A267" s="18" t="str">
        <f>A266</f>
        <v>Hide</v>
      </c>
      <c r="B267" s="45"/>
      <c r="C267" s="45"/>
      <c r="D267" s="45"/>
      <c r="E267" s="45"/>
      <c r="F267" s="46"/>
      <c r="G267" s="46"/>
      <c r="H267" s="46"/>
      <c r="I267" s="237" t="e">
        <f t="shared" si="104"/>
        <v>#N/A</v>
      </c>
      <c r="J267" s="46"/>
      <c r="K267" s="46"/>
      <c r="L267" s="46"/>
      <c r="M267" s="394" t="e">
        <f t="shared" si="105"/>
        <v>#N/A</v>
      </c>
    </row>
    <row r="268" spans="1:15" ht="13.5" thickBot="1" x14ac:dyDescent="0.25">
      <c r="A268" s="18" t="str">
        <f>A267</f>
        <v>Hide</v>
      </c>
      <c r="B268" s="45"/>
      <c r="E268" s="45"/>
      <c r="F268" s="47"/>
      <c r="G268" s="47"/>
      <c r="H268" s="47"/>
      <c r="I268" s="237" t="e">
        <f t="shared" si="104"/>
        <v>#N/A</v>
      </c>
      <c r="J268" s="47"/>
      <c r="K268" s="47"/>
      <c r="L268" s="47"/>
      <c r="M268" s="394" t="e">
        <f t="shared" si="105"/>
        <v>#N/A</v>
      </c>
    </row>
    <row r="269" spans="1:15" ht="13.5" thickTop="1" x14ac:dyDescent="0.2">
      <c r="A269" s="42" t="str">
        <f>'Ballot Entry'!A260</f>
        <v>Hide</v>
      </c>
      <c r="B269" s="43">
        <f>'Ballot Entry'!B260</f>
        <v>0</v>
      </c>
      <c r="C269" s="43" t="s">
        <v>285</v>
      </c>
      <c r="D269" s="48"/>
      <c r="E269" s="45"/>
      <c r="F269" s="48"/>
      <c r="G269" s="48"/>
      <c r="H269" s="48"/>
      <c r="I269" s="237" t="e">
        <f t="shared" si="104"/>
        <v>#N/A</v>
      </c>
      <c r="J269" s="48"/>
      <c r="K269" s="48"/>
      <c r="L269" s="48"/>
      <c r="M269" s="394" t="e">
        <f t="shared" si="105"/>
        <v>#N/A</v>
      </c>
      <c r="N269" s="35" t="e">
        <f>LARGE(I269:I271,3)&amp;","&amp;LARGE(I269:I271,2)&amp;","&amp;LARGE(I269:I271,1)</f>
        <v>#N/A</v>
      </c>
      <c r="O269" s="35" t="e">
        <f>LARGE(M269:M271,3)&amp;","&amp;LARGE(M269:M271,2)&amp;","&amp;LARGE(M269:M271,1)</f>
        <v>#N/A</v>
      </c>
    </row>
    <row r="270" spans="1:15" x14ac:dyDescent="0.2">
      <c r="A270" s="18" t="str">
        <f>A269</f>
        <v>Hide</v>
      </c>
      <c r="B270" s="45"/>
      <c r="C270" s="45"/>
      <c r="D270" s="45"/>
      <c r="E270" s="45"/>
      <c r="F270" s="49"/>
      <c r="G270" s="49"/>
      <c r="H270" s="49"/>
      <c r="I270" s="237" t="e">
        <f t="shared" si="104"/>
        <v>#N/A</v>
      </c>
      <c r="J270" s="49"/>
      <c r="K270" s="49"/>
      <c r="L270" s="49"/>
      <c r="M270" s="394" t="e">
        <f t="shared" si="105"/>
        <v>#N/A</v>
      </c>
    </row>
    <row r="271" spans="1:15" ht="13.5" thickBot="1" x14ac:dyDescent="0.25">
      <c r="A271" s="18" t="str">
        <f>A270</f>
        <v>Hide</v>
      </c>
      <c r="B271" s="45"/>
      <c r="E271" s="51"/>
      <c r="F271" s="50"/>
      <c r="G271" s="50"/>
      <c r="H271" s="50"/>
      <c r="I271" s="237" t="e">
        <f t="shared" si="104"/>
        <v>#N/A</v>
      </c>
      <c r="J271" s="50"/>
      <c r="K271" s="50"/>
      <c r="L271" s="50"/>
      <c r="M271" s="394" t="e">
        <f t="shared" si="105"/>
        <v>#N/A</v>
      </c>
    </row>
    <row r="272" spans="1:15" ht="13.5" thickTop="1" x14ac:dyDescent="0.2">
      <c r="A272" s="42" t="str">
        <f>'Ballot Entry'!A263</f>
        <v>Hide</v>
      </c>
      <c r="B272" s="43">
        <f>'Ballot Entry'!B263</f>
        <v>0</v>
      </c>
      <c r="C272" s="43" t="s">
        <v>285</v>
      </c>
      <c r="D272" s="44"/>
      <c r="E272" s="45"/>
      <c r="F272" s="44"/>
      <c r="G272" s="44"/>
      <c r="H272" s="44"/>
      <c r="I272" s="237" t="e">
        <f t="shared" si="104"/>
        <v>#N/A</v>
      </c>
      <c r="J272" s="44"/>
      <c r="K272" s="44"/>
      <c r="L272" s="44"/>
      <c r="M272" s="394" t="e">
        <f t="shared" si="105"/>
        <v>#N/A</v>
      </c>
      <c r="N272" s="35" t="e">
        <f>LARGE(I272:I274,3)&amp;","&amp;LARGE(I272:I274,2)&amp;","&amp;LARGE(I272:I274,1)</f>
        <v>#N/A</v>
      </c>
      <c r="O272" s="35" t="e">
        <f>LARGE(M272:M274,3)&amp;","&amp;LARGE(M272:M274,2)&amp;","&amp;LARGE(M272:M274,1)</f>
        <v>#N/A</v>
      </c>
    </row>
    <row r="273" spans="1:15" x14ac:dyDescent="0.2">
      <c r="A273" s="18" t="str">
        <f>A272</f>
        <v>Hide</v>
      </c>
      <c r="B273" s="45"/>
      <c r="C273" s="45"/>
      <c r="D273" s="45"/>
      <c r="E273" s="45"/>
      <c r="F273" s="46"/>
      <c r="G273" s="46"/>
      <c r="H273" s="46"/>
      <c r="I273" s="237" t="e">
        <f t="shared" si="104"/>
        <v>#N/A</v>
      </c>
      <c r="J273" s="46"/>
      <c r="K273" s="46"/>
      <c r="L273" s="46"/>
      <c r="M273" s="394" t="e">
        <f t="shared" si="105"/>
        <v>#N/A</v>
      </c>
    </row>
    <row r="274" spans="1:15" ht="13.5" thickBot="1" x14ac:dyDescent="0.25">
      <c r="A274" s="18" t="str">
        <f>A273</f>
        <v>Hide</v>
      </c>
      <c r="B274" s="45"/>
      <c r="E274" s="45"/>
      <c r="F274" s="47"/>
      <c r="G274" s="47"/>
      <c r="H274" s="47"/>
      <c r="I274" s="237" t="e">
        <f t="shared" si="104"/>
        <v>#N/A</v>
      </c>
      <c r="J274" s="47"/>
      <c r="K274" s="47"/>
      <c r="L274" s="47"/>
      <c r="M274" s="394" t="e">
        <f t="shared" si="105"/>
        <v>#N/A</v>
      </c>
    </row>
    <row r="275" spans="1:15" ht="13.5" thickTop="1" x14ac:dyDescent="0.2">
      <c r="A275" s="42" t="str">
        <f>'Ballot Entry'!A266</f>
        <v>Hide</v>
      </c>
      <c r="B275" s="43">
        <f>'Ballot Entry'!B266</f>
        <v>0</v>
      </c>
      <c r="C275" s="43" t="s">
        <v>285</v>
      </c>
      <c r="D275" s="48"/>
      <c r="E275" s="45"/>
      <c r="F275" s="48"/>
      <c r="G275" s="48"/>
      <c r="H275" s="48"/>
      <c r="I275" s="237" t="e">
        <f t="shared" si="104"/>
        <v>#N/A</v>
      </c>
      <c r="J275" s="48"/>
      <c r="K275" s="48"/>
      <c r="L275" s="48"/>
      <c r="M275" s="394" t="e">
        <f t="shared" si="105"/>
        <v>#N/A</v>
      </c>
      <c r="N275" s="35" t="e">
        <f>LARGE(I275:I277,3)&amp;","&amp;LARGE(I275:I277,2)&amp;","&amp;LARGE(I275:I277,1)</f>
        <v>#N/A</v>
      </c>
      <c r="O275" s="35" t="e">
        <f>LARGE(M275:M277,3)&amp;","&amp;LARGE(M275:M277,2)&amp;","&amp;LARGE(M275:M277,1)</f>
        <v>#N/A</v>
      </c>
    </row>
    <row r="276" spans="1:15" x14ac:dyDescent="0.2">
      <c r="A276" s="18" t="str">
        <f>A275</f>
        <v>Hide</v>
      </c>
      <c r="B276" s="45"/>
      <c r="C276" s="45"/>
      <c r="D276" s="45"/>
      <c r="E276" s="45"/>
      <c r="F276" s="49"/>
      <c r="G276" s="49"/>
      <c r="H276" s="49"/>
      <c r="I276" s="237" t="e">
        <f t="shared" si="104"/>
        <v>#N/A</v>
      </c>
      <c r="J276" s="49"/>
      <c r="K276" s="49"/>
      <c r="L276" s="49"/>
      <c r="M276" s="394" t="e">
        <f t="shared" si="105"/>
        <v>#N/A</v>
      </c>
    </row>
    <row r="277" spans="1:15" ht="13.5" thickBot="1" x14ac:dyDescent="0.25">
      <c r="A277" s="18" t="str">
        <f>A276</f>
        <v>Hide</v>
      </c>
      <c r="B277" s="45"/>
      <c r="E277" s="51"/>
      <c r="F277" s="50"/>
      <c r="G277" s="50"/>
      <c r="H277" s="50"/>
      <c r="I277" s="237" t="e">
        <f t="shared" si="104"/>
        <v>#N/A</v>
      </c>
      <c r="J277" s="50"/>
      <c r="K277" s="50"/>
      <c r="L277" s="50"/>
      <c r="M277" s="394" t="e">
        <f t="shared" si="105"/>
        <v>#N/A</v>
      </c>
    </row>
    <row r="278" spans="1:15" ht="13.5" thickTop="1" x14ac:dyDescent="0.2">
      <c r="A278" s="42" t="str">
        <f>'Ballot Entry'!A269</f>
        <v>Hide</v>
      </c>
      <c r="B278" s="43">
        <f>'Ballot Entry'!B269</f>
        <v>0</v>
      </c>
      <c r="C278" s="43" t="s">
        <v>285</v>
      </c>
      <c r="D278" s="44"/>
      <c r="E278" s="45"/>
      <c r="F278" s="44"/>
      <c r="G278" s="44"/>
      <c r="H278" s="44"/>
      <c r="I278" s="237" t="e">
        <f t="shared" si="104"/>
        <v>#N/A</v>
      </c>
      <c r="J278" s="44"/>
      <c r="K278" s="44"/>
      <c r="L278" s="44"/>
      <c r="M278" s="394" t="e">
        <f t="shared" si="105"/>
        <v>#N/A</v>
      </c>
      <c r="N278" s="35" t="e">
        <f>LARGE(I278:I280,3)&amp;","&amp;LARGE(I278:I280,2)&amp;","&amp;LARGE(I278:I280,1)</f>
        <v>#N/A</v>
      </c>
      <c r="O278" s="35" t="e">
        <f>LARGE(M278:M280,3)&amp;","&amp;LARGE(M278:M280,2)&amp;","&amp;LARGE(M278:M280,1)</f>
        <v>#N/A</v>
      </c>
    </row>
    <row r="279" spans="1:15" x14ac:dyDescent="0.2">
      <c r="A279" s="18" t="str">
        <f>A278</f>
        <v>Hide</v>
      </c>
      <c r="B279" s="45"/>
      <c r="C279" s="45"/>
      <c r="D279" s="45"/>
      <c r="E279" s="45"/>
      <c r="F279" s="46"/>
      <c r="G279" s="46"/>
      <c r="H279" s="46"/>
      <c r="I279" s="237" t="e">
        <f t="shared" si="104"/>
        <v>#N/A</v>
      </c>
      <c r="J279" s="46"/>
      <c r="K279" s="46"/>
      <c r="L279" s="46"/>
      <c r="M279" s="394" t="e">
        <f t="shared" si="105"/>
        <v>#N/A</v>
      </c>
    </row>
    <row r="280" spans="1:15" ht="13.5" thickBot="1" x14ac:dyDescent="0.25">
      <c r="A280" s="18" t="str">
        <f>A279</f>
        <v>Hide</v>
      </c>
      <c r="B280" s="45"/>
      <c r="E280" s="45"/>
      <c r="F280" s="47"/>
      <c r="G280" s="47"/>
      <c r="H280" s="47"/>
      <c r="I280" s="237" t="e">
        <f t="shared" si="104"/>
        <v>#N/A</v>
      </c>
      <c r="J280" s="47"/>
      <c r="K280" s="47"/>
      <c r="L280" s="47"/>
      <c r="M280" s="394" t="e">
        <f t="shared" si="105"/>
        <v>#N/A</v>
      </c>
    </row>
    <row r="281" spans="1:15" ht="13.5" thickTop="1" x14ac:dyDescent="0.2">
      <c r="A281" s="42" t="str">
        <f>'Ballot Entry'!A272</f>
        <v>Hide</v>
      </c>
      <c r="B281" s="43">
        <f>'Ballot Entry'!B272</f>
        <v>0</v>
      </c>
      <c r="C281" s="43" t="s">
        <v>285</v>
      </c>
      <c r="D281" s="48"/>
      <c r="E281" s="45"/>
      <c r="F281" s="48"/>
      <c r="G281" s="48"/>
      <c r="H281" s="48"/>
      <c r="I281" s="237" t="e">
        <f t="shared" si="104"/>
        <v>#N/A</v>
      </c>
      <c r="J281" s="48"/>
      <c r="K281" s="48"/>
      <c r="L281" s="48"/>
      <c r="M281" s="394" t="e">
        <f t="shared" si="105"/>
        <v>#N/A</v>
      </c>
      <c r="N281" s="35" t="e">
        <f>LARGE(I281:I283,3)&amp;","&amp;LARGE(I281:I283,2)&amp;","&amp;LARGE(I281:I283,1)</f>
        <v>#N/A</v>
      </c>
      <c r="O281" s="35" t="e">
        <f>LARGE(M281:M283,3)&amp;","&amp;LARGE(M281:M283,2)&amp;","&amp;LARGE(M281:M283,1)</f>
        <v>#N/A</v>
      </c>
    </row>
    <row r="282" spans="1:15" x14ac:dyDescent="0.2">
      <c r="A282" s="18" t="str">
        <f>A281</f>
        <v>Hide</v>
      </c>
      <c r="B282" s="45"/>
      <c r="C282" s="45"/>
      <c r="D282" s="45"/>
      <c r="E282" s="45"/>
      <c r="F282" s="49"/>
      <c r="G282" s="49"/>
      <c r="H282" s="49"/>
      <c r="I282" s="237" t="e">
        <f t="shared" si="104"/>
        <v>#N/A</v>
      </c>
      <c r="J282" s="49"/>
      <c r="K282" s="49"/>
      <c r="L282" s="49"/>
      <c r="M282" s="394" t="e">
        <f t="shared" si="105"/>
        <v>#N/A</v>
      </c>
    </row>
    <row r="283" spans="1:15" ht="13.5" thickBot="1" x14ac:dyDescent="0.25">
      <c r="A283" s="18" t="str">
        <f>A282</f>
        <v>Hide</v>
      </c>
      <c r="B283" s="45"/>
      <c r="E283" s="51"/>
      <c r="F283" s="50"/>
      <c r="G283" s="50"/>
      <c r="H283" s="50"/>
      <c r="I283" s="237" t="e">
        <f t="shared" si="104"/>
        <v>#N/A</v>
      </c>
      <c r="J283" s="50"/>
      <c r="K283" s="50"/>
      <c r="L283" s="50"/>
      <c r="M283" s="394" t="e">
        <f t="shared" si="105"/>
        <v>#N/A</v>
      </c>
    </row>
    <row r="284" spans="1:15" ht="13.5" thickTop="1" x14ac:dyDescent="0.2">
      <c r="A284" s="42" t="str">
        <f>'Ballot Entry'!A275</f>
        <v>Hide</v>
      </c>
      <c r="B284" s="43">
        <f>'Ballot Entry'!B275</f>
        <v>0</v>
      </c>
      <c r="C284" s="43" t="s">
        <v>285</v>
      </c>
      <c r="D284" s="44"/>
      <c r="E284" s="45"/>
      <c r="F284" s="44"/>
      <c r="G284" s="44"/>
      <c r="H284" s="44"/>
      <c r="I284" s="237" t="e">
        <f t="shared" ref="I284:I328" si="106">VLOOKUP(F284,Plookup,4,)</f>
        <v>#N/A</v>
      </c>
      <c r="J284" s="44"/>
      <c r="K284" s="44"/>
      <c r="L284" s="44"/>
      <c r="M284" s="394" t="e">
        <f t="shared" ref="M284:M328" si="107">VLOOKUP(J284,DLookup,4,)</f>
        <v>#N/A</v>
      </c>
      <c r="N284" s="35" t="e">
        <f t="shared" ref="N284" si="108">LARGE(I284:I286,3)&amp;","&amp;LARGE(I284:I286,2)&amp;","&amp;LARGE(I284:I286,1)</f>
        <v>#N/A</v>
      </c>
      <c r="O284" s="35" t="e">
        <f t="shared" ref="O284" si="109">LARGE(M284:M286,3)&amp;","&amp;LARGE(M284:M286,2)&amp;","&amp;LARGE(M284:M286,1)</f>
        <v>#N/A</v>
      </c>
    </row>
    <row r="285" spans="1:15" x14ac:dyDescent="0.2">
      <c r="A285" s="18" t="str">
        <f t="shared" ref="A285:A286" si="110">A284</f>
        <v>Hide</v>
      </c>
      <c r="B285" s="45"/>
      <c r="C285" s="45"/>
      <c r="D285" s="45"/>
      <c r="E285" s="45"/>
      <c r="F285" s="46"/>
      <c r="G285" s="46"/>
      <c r="H285" s="46"/>
      <c r="I285" s="237" t="e">
        <f t="shared" si="106"/>
        <v>#N/A</v>
      </c>
      <c r="J285" s="46"/>
      <c r="K285" s="46"/>
      <c r="L285" s="46"/>
      <c r="M285" s="394" t="e">
        <f t="shared" si="107"/>
        <v>#N/A</v>
      </c>
    </row>
    <row r="286" spans="1:15" ht="13.5" thickBot="1" x14ac:dyDescent="0.25">
      <c r="A286" s="18" t="str">
        <f t="shared" si="110"/>
        <v>Hide</v>
      </c>
      <c r="B286" s="45"/>
      <c r="E286" s="45"/>
      <c r="F286" s="47"/>
      <c r="G286" s="47"/>
      <c r="H286" s="47"/>
      <c r="I286" s="237" t="e">
        <f t="shared" si="106"/>
        <v>#N/A</v>
      </c>
      <c r="J286" s="47"/>
      <c r="K286" s="47"/>
      <c r="L286" s="47"/>
      <c r="M286" s="394" t="e">
        <f t="shared" si="107"/>
        <v>#N/A</v>
      </c>
    </row>
    <row r="287" spans="1:15" ht="13.5" thickTop="1" x14ac:dyDescent="0.2">
      <c r="A287" s="42" t="str">
        <f>'Ballot Entry'!A278</f>
        <v>Hide</v>
      </c>
      <c r="B287" s="43">
        <f>'Ballot Entry'!B278</f>
        <v>0</v>
      </c>
      <c r="C287" s="43" t="s">
        <v>285</v>
      </c>
      <c r="D287" s="48"/>
      <c r="E287" s="45"/>
      <c r="F287" s="48"/>
      <c r="G287" s="48"/>
      <c r="H287" s="48"/>
      <c r="I287" s="237" t="e">
        <f t="shared" si="106"/>
        <v>#N/A</v>
      </c>
      <c r="J287" s="48"/>
      <c r="K287" s="48"/>
      <c r="L287" s="48"/>
      <c r="M287" s="394" t="e">
        <f t="shared" si="107"/>
        <v>#N/A</v>
      </c>
      <c r="N287" s="35" t="e">
        <f t="shared" ref="N287" si="111">LARGE(I287:I289,3)&amp;","&amp;LARGE(I287:I289,2)&amp;","&amp;LARGE(I287:I289,1)</f>
        <v>#N/A</v>
      </c>
      <c r="O287" s="35" t="e">
        <f t="shared" ref="O287" si="112">LARGE(M287:M289,3)&amp;","&amp;LARGE(M287:M289,2)&amp;","&amp;LARGE(M287:M289,1)</f>
        <v>#N/A</v>
      </c>
    </row>
    <row r="288" spans="1:15" x14ac:dyDescent="0.2">
      <c r="A288" s="18" t="str">
        <f t="shared" ref="A288:A289" si="113">A287</f>
        <v>Hide</v>
      </c>
      <c r="B288" s="45"/>
      <c r="C288" s="45"/>
      <c r="D288" s="45"/>
      <c r="E288" s="45"/>
      <c r="F288" s="49"/>
      <c r="G288" s="49"/>
      <c r="H288" s="49"/>
      <c r="I288" s="237" t="e">
        <f t="shared" si="106"/>
        <v>#N/A</v>
      </c>
      <c r="J288" s="49"/>
      <c r="K288" s="49"/>
      <c r="L288" s="49"/>
      <c r="M288" s="394" t="e">
        <f t="shared" si="107"/>
        <v>#N/A</v>
      </c>
    </row>
    <row r="289" spans="1:15" ht="13.5" thickBot="1" x14ac:dyDescent="0.25">
      <c r="A289" s="18" t="str">
        <f t="shared" si="113"/>
        <v>Hide</v>
      </c>
      <c r="B289" s="45"/>
      <c r="E289" s="51"/>
      <c r="F289" s="50"/>
      <c r="G289" s="50"/>
      <c r="H289" s="50"/>
      <c r="I289" s="237" t="e">
        <f t="shared" si="106"/>
        <v>#N/A</v>
      </c>
      <c r="J289" s="50"/>
      <c r="K289" s="50"/>
      <c r="L289" s="50"/>
      <c r="M289" s="394" t="e">
        <f t="shared" si="107"/>
        <v>#N/A</v>
      </c>
    </row>
    <row r="290" spans="1:15" ht="13.5" thickTop="1" x14ac:dyDescent="0.2">
      <c r="A290" s="42" t="str">
        <f>'Ballot Entry'!A281</f>
        <v>Hide</v>
      </c>
      <c r="B290" s="43">
        <f>'Ballot Entry'!B281</f>
        <v>0</v>
      </c>
      <c r="C290" s="43" t="s">
        <v>285</v>
      </c>
      <c r="D290" s="44"/>
      <c r="E290" s="45"/>
      <c r="F290" s="44"/>
      <c r="G290" s="44"/>
      <c r="H290" s="44"/>
      <c r="I290" s="237" t="e">
        <f t="shared" si="106"/>
        <v>#N/A</v>
      </c>
      <c r="J290" s="44"/>
      <c r="K290" s="44"/>
      <c r="L290" s="44"/>
      <c r="M290" s="394" t="e">
        <f t="shared" si="107"/>
        <v>#N/A</v>
      </c>
      <c r="N290" s="35" t="e">
        <f t="shared" ref="N290" si="114">LARGE(I290:I292,3)&amp;","&amp;LARGE(I290:I292,2)&amp;","&amp;LARGE(I290:I292,1)</f>
        <v>#N/A</v>
      </c>
      <c r="O290" s="35" t="e">
        <f t="shared" ref="O290" si="115">LARGE(M290:M292,3)&amp;","&amp;LARGE(M290:M292,2)&amp;","&amp;LARGE(M290:M292,1)</f>
        <v>#N/A</v>
      </c>
    </row>
    <row r="291" spans="1:15" x14ac:dyDescent="0.2">
      <c r="A291" s="18" t="str">
        <f t="shared" ref="A291:A292" si="116">A290</f>
        <v>Hide</v>
      </c>
      <c r="B291" s="45"/>
      <c r="C291" s="45"/>
      <c r="D291" s="45"/>
      <c r="E291" s="45"/>
      <c r="F291" s="46"/>
      <c r="G291" s="46"/>
      <c r="H291" s="46"/>
      <c r="I291" s="237" t="e">
        <f t="shared" si="106"/>
        <v>#N/A</v>
      </c>
      <c r="J291" s="46"/>
      <c r="K291" s="46"/>
      <c r="L291" s="46"/>
      <c r="M291" s="394" t="e">
        <f t="shared" si="107"/>
        <v>#N/A</v>
      </c>
    </row>
    <row r="292" spans="1:15" ht="13.5" thickBot="1" x14ac:dyDescent="0.25">
      <c r="A292" s="18" t="str">
        <f t="shared" si="116"/>
        <v>Hide</v>
      </c>
      <c r="B292" s="45"/>
      <c r="E292" s="45"/>
      <c r="F292" s="47"/>
      <c r="G292" s="47"/>
      <c r="H292" s="47"/>
      <c r="I292" s="237" t="e">
        <f t="shared" si="106"/>
        <v>#N/A</v>
      </c>
      <c r="J292" s="47"/>
      <c r="K292" s="47"/>
      <c r="L292" s="47"/>
      <c r="M292" s="394" t="e">
        <f t="shared" si="107"/>
        <v>#N/A</v>
      </c>
    </row>
    <row r="293" spans="1:15" ht="13.5" thickTop="1" x14ac:dyDescent="0.2">
      <c r="A293" s="42" t="str">
        <f>'Ballot Entry'!A284</f>
        <v>Hide</v>
      </c>
      <c r="B293" s="43">
        <f>'Ballot Entry'!B284</f>
        <v>0</v>
      </c>
      <c r="C293" s="43" t="s">
        <v>285</v>
      </c>
      <c r="D293" s="48"/>
      <c r="E293" s="45"/>
      <c r="F293" s="48"/>
      <c r="G293" s="48"/>
      <c r="H293" s="48"/>
      <c r="I293" s="237" t="e">
        <f t="shared" si="106"/>
        <v>#N/A</v>
      </c>
      <c r="J293" s="48"/>
      <c r="K293" s="48"/>
      <c r="L293" s="48"/>
      <c r="M293" s="394" t="e">
        <f t="shared" si="107"/>
        <v>#N/A</v>
      </c>
      <c r="N293" s="35" t="e">
        <f t="shared" ref="N293" si="117">LARGE(I293:I295,3)&amp;","&amp;LARGE(I293:I295,2)&amp;","&amp;LARGE(I293:I295,1)</f>
        <v>#N/A</v>
      </c>
      <c r="O293" s="35" t="e">
        <f t="shared" ref="O293" si="118">LARGE(M293:M295,3)&amp;","&amp;LARGE(M293:M295,2)&amp;","&amp;LARGE(M293:M295,1)</f>
        <v>#N/A</v>
      </c>
    </row>
    <row r="294" spans="1:15" x14ac:dyDescent="0.2">
      <c r="A294" s="18" t="str">
        <f t="shared" ref="A294:A295" si="119">A293</f>
        <v>Hide</v>
      </c>
      <c r="B294" s="45"/>
      <c r="C294" s="45"/>
      <c r="D294" s="45"/>
      <c r="E294" s="45"/>
      <c r="F294" s="49"/>
      <c r="G294" s="49"/>
      <c r="H294" s="49"/>
      <c r="I294" s="237" t="e">
        <f t="shared" si="106"/>
        <v>#N/A</v>
      </c>
      <c r="J294" s="49"/>
      <c r="K294" s="49"/>
      <c r="L294" s="49"/>
      <c r="M294" s="394" t="e">
        <f t="shared" si="107"/>
        <v>#N/A</v>
      </c>
    </row>
    <row r="295" spans="1:15" ht="13.5" thickBot="1" x14ac:dyDescent="0.25">
      <c r="A295" s="18" t="str">
        <f t="shared" si="119"/>
        <v>Hide</v>
      </c>
      <c r="B295" s="45"/>
      <c r="E295" s="51"/>
      <c r="F295" s="50"/>
      <c r="G295" s="50"/>
      <c r="H295" s="50"/>
      <c r="I295" s="237" t="e">
        <f t="shared" si="106"/>
        <v>#N/A</v>
      </c>
      <c r="J295" s="50"/>
      <c r="K295" s="50"/>
      <c r="L295" s="50"/>
      <c r="M295" s="394" t="e">
        <f t="shared" si="107"/>
        <v>#N/A</v>
      </c>
    </row>
    <row r="296" spans="1:15" ht="13.5" thickTop="1" x14ac:dyDescent="0.2">
      <c r="A296" s="42" t="str">
        <f>'Ballot Entry'!A287</f>
        <v>Hide</v>
      </c>
      <c r="B296" s="43">
        <f>'Ballot Entry'!B287</f>
        <v>0</v>
      </c>
      <c r="C296" s="43" t="s">
        <v>285</v>
      </c>
      <c r="D296" s="44"/>
      <c r="E296" s="45"/>
      <c r="F296" s="44"/>
      <c r="G296" s="44"/>
      <c r="H296" s="44"/>
      <c r="I296" s="237" t="e">
        <f t="shared" si="106"/>
        <v>#N/A</v>
      </c>
      <c r="J296" s="44"/>
      <c r="K296" s="44"/>
      <c r="L296" s="44"/>
      <c r="M296" s="394" t="e">
        <f t="shared" si="107"/>
        <v>#N/A</v>
      </c>
      <c r="N296" s="35" t="e">
        <f t="shared" ref="N296" si="120">LARGE(I296:I298,3)&amp;","&amp;LARGE(I296:I298,2)&amp;","&amp;LARGE(I296:I298,1)</f>
        <v>#N/A</v>
      </c>
      <c r="O296" s="35" t="e">
        <f t="shared" ref="O296" si="121">LARGE(M296:M298,3)&amp;","&amp;LARGE(M296:M298,2)&amp;","&amp;LARGE(M296:M298,1)</f>
        <v>#N/A</v>
      </c>
    </row>
    <row r="297" spans="1:15" x14ac:dyDescent="0.2">
      <c r="A297" s="18" t="str">
        <f t="shared" ref="A297:A298" si="122">A296</f>
        <v>Hide</v>
      </c>
      <c r="B297" s="45"/>
      <c r="C297" s="45"/>
      <c r="D297" s="45"/>
      <c r="E297" s="45"/>
      <c r="F297" s="46"/>
      <c r="G297" s="46"/>
      <c r="H297" s="46"/>
      <c r="I297" s="237" t="e">
        <f t="shared" si="106"/>
        <v>#N/A</v>
      </c>
      <c r="J297" s="46"/>
      <c r="K297" s="46"/>
      <c r="L297" s="46"/>
      <c r="M297" s="394" t="e">
        <f t="shared" si="107"/>
        <v>#N/A</v>
      </c>
    </row>
    <row r="298" spans="1:15" ht="13.5" thickBot="1" x14ac:dyDescent="0.25">
      <c r="A298" s="18" t="str">
        <f t="shared" si="122"/>
        <v>Hide</v>
      </c>
      <c r="B298" s="45"/>
      <c r="E298" s="45"/>
      <c r="F298" s="47"/>
      <c r="G298" s="47"/>
      <c r="H298" s="47"/>
      <c r="I298" s="237" t="e">
        <f t="shared" si="106"/>
        <v>#N/A</v>
      </c>
      <c r="J298" s="47"/>
      <c r="K298" s="47"/>
      <c r="L298" s="47"/>
      <c r="M298" s="394" t="e">
        <f t="shared" si="107"/>
        <v>#N/A</v>
      </c>
    </row>
    <row r="299" spans="1:15" ht="13.5" thickTop="1" x14ac:dyDescent="0.2">
      <c r="A299" s="42" t="str">
        <f>'Ballot Entry'!A290</f>
        <v>Hide</v>
      </c>
      <c r="B299" s="43">
        <f>'Ballot Entry'!B290</f>
        <v>0</v>
      </c>
      <c r="C299" s="43" t="s">
        <v>285</v>
      </c>
      <c r="D299" s="48"/>
      <c r="E299" s="45"/>
      <c r="F299" s="48"/>
      <c r="G299" s="48"/>
      <c r="H299" s="48"/>
      <c r="I299" s="237" t="e">
        <f t="shared" si="106"/>
        <v>#N/A</v>
      </c>
      <c r="J299" s="48"/>
      <c r="K299" s="48"/>
      <c r="L299" s="48"/>
      <c r="M299" s="394" t="e">
        <f t="shared" si="107"/>
        <v>#N/A</v>
      </c>
      <c r="N299" s="35" t="e">
        <f t="shared" ref="N299" si="123">LARGE(I299:I301,3)&amp;","&amp;LARGE(I299:I301,2)&amp;","&amp;LARGE(I299:I301,1)</f>
        <v>#N/A</v>
      </c>
      <c r="O299" s="35" t="e">
        <f t="shared" ref="O299" si="124">LARGE(M299:M301,3)&amp;","&amp;LARGE(M299:M301,2)&amp;","&amp;LARGE(M299:M301,1)</f>
        <v>#N/A</v>
      </c>
    </row>
    <row r="300" spans="1:15" x14ac:dyDescent="0.2">
      <c r="A300" s="18" t="str">
        <f t="shared" ref="A300:A301" si="125">A299</f>
        <v>Hide</v>
      </c>
      <c r="B300" s="45"/>
      <c r="C300" s="45"/>
      <c r="D300" s="45"/>
      <c r="E300" s="45"/>
      <c r="F300" s="49"/>
      <c r="G300" s="49"/>
      <c r="H300" s="49"/>
      <c r="I300" s="237" t="e">
        <f t="shared" si="106"/>
        <v>#N/A</v>
      </c>
      <c r="J300" s="49"/>
      <c r="K300" s="49"/>
      <c r="L300" s="49"/>
      <c r="M300" s="394" t="e">
        <f t="shared" si="107"/>
        <v>#N/A</v>
      </c>
    </row>
    <row r="301" spans="1:15" ht="13.5" thickBot="1" x14ac:dyDescent="0.25">
      <c r="A301" s="18" t="str">
        <f t="shared" si="125"/>
        <v>Hide</v>
      </c>
      <c r="B301" s="45"/>
      <c r="E301" s="51"/>
      <c r="F301" s="50"/>
      <c r="G301" s="50"/>
      <c r="H301" s="50"/>
      <c r="I301" s="237" t="e">
        <f t="shared" si="106"/>
        <v>#N/A</v>
      </c>
      <c r="J301" s="50"/>
      <c r="K301" s="50"/>
      <c r="L301" s="50"/>
      <c r="M301" s="394" t="e">
        <f t="shared" si="107"/>
        <v>#N/A</v>
      </c>
    </row>
    <row r="302" spans="1:15" ht="13.5" thickTop="1" x14ac:dyDescent="0.2">
      <c r="A302" s="42" t="str">
        <f>'Ballot Entry'!A293</f>
        <v>Hide</v>
      </c>
      <c r="B302" s="43">
        <f>'Ballot Entry'!B293</f>
        <v>0</v>
      </c>
      <c r="C302" s="43" t="s">
        <v>285</v>
      </c>
      <c r="D302" s="44"/>
      <c r="E302" s="45"/>
      <c r="F302" s="44"/>
      <c r="G302" s="44"/>
      <c r="H302" s="44"/>
      <c r="I302" s="237" t="e">
        <f t="shared" si="106"/>
        <v>#N/A</v>
      </c>
      <c r="J302" s="44"/>
      <c r="K302" s="44"/>
      <c r="L302" s="44"/>
      <c r="M302" s="394" t="e">
        <f t="shared" si="107"/>
        <v>#N/A</v>
      </c>
      <c r="N302" s="35" t="e">
        <f t="shared" ref="N302" si="126">LARGE(I302:I304,3)&amp;","&amp;LARGE(I302:I304,2)&amp;","&amp;LARGE(I302:I304,1)</f>
        <v>#N/A</v>
      </c>
      <c r="O302" s="35" t="e">
        <f t="shared" ref="O302" si="127">LARGE(M302:M304,3)&amp;","&amp;LARGE(M302:M304,2)&amp;","&amp;LARGE(M302:M304,1)</f>
        <v>#N/A</v>
      </c>
    </row>
    <row r="303" spans="1:15" x14ac:dyDescent="0.2">
      <c r="A303" s="18" t="str">
        <f t="shared" ref="A303:A304" si="128">A302</f>
        <v>Hide</v>
      </c>
      <c r="B303" s="45"/>
      <c r="C303" s="45"/>
      <c r="D303" s="45"/>
      <c r="E303" s="45"/>
      <c r="F303" s="46"/>
      <c r="G303" s="46"/>
      <c r="H303" s="46"/>
      <c r="I303" s="237" t="e">
        <f t="shared" si="106"/>
        <v>#N/A</v>
      </c>
      <c r="J303" s="46"/>
      <c r="K303" s="46"/>
      <c r="L303" s="46"/>
      <c r="M303" s="394" t="e">
        <f t="shared" si="107"/>
        <v>#N/A</v>
      </c>
    </row>
    <row r="304" spans="1:15" ht="13.5" thickBot="1" x14ac:dyDescent="0.25">
      <c r="A304" s="18" t="str">
        <f t="shared" si="128"/>
        <v>Hide</v>
      </c>
      <c r="B304" s="45"/>
      <c r="E304" s="45"/>
      <c r="F304" s="47"/>
      <c r="G304" s="47"/>
      <c r="H304" s="47"/>
      <c r="I304" s="237" t="e">
        <f t="shared" si="106"/>
        <v>#N/A</v>
      </c>
      <c r="J304" s="47"/>
      <c r="K304" s="47"/>
      <c r="L304" s="47"/>
      <c r="M304" s="394" t="e">
        <f t="shared" si="107"/>
        <v>#N/A</v>
      </c>
    </row>
    <row r="305" spans="1:15" ht="13.5" thickTop="1" x14ac:dyDescent="0.2">
      <c r="A305" s="42" t="str">
        <f>'Ballot Entry'!A296</f>
        <v>Hide</v>
      </c>
      <c r="B305" s="43">
        <f>'Ballot Entry'!B296</f>
        <v>0</v>
      </c>
      <c r="C305" s="43" t="s">
        <v>285</v>
      </c>
      <c r="D305" s="48"/>
      <c r="E305" s="45"/>
      <c r="F305" s="48"/>
      <c r="G305" s="48"/>
      <c r="H305" s="48"/>
      <c r="I305" s="237" t="e">
        <f t="shared" si="106"/>
        <v>#N/A</v>
      </c>
      <c r="J305" s="48"/>
      <c r="K305" s="48"/>
      <c r="L305" s="48"/>
      <c r="M305" s="394" t="e">
        <f t="shared" si="107"/>
        <v>#N/A</v>
      </c>
      <c r="N305" s="35" t="e">
        <f t="shared" ref="N305" si="129">LARGE(I305:I307,3)&amp;","&amp;LARGE(I305:I307,2)&amp;","&amp;LARGE(I305:I307,1)</f>
        <v>#N/A</v>
      </c>
      <c r="O305" s="35" t="e">
        <f t="shared" ref="O305" si="130">LARGE(M305:M307,3)&amp;","&amp;LARGE(M305:M307,2)&amp;","&amp;LARGE(M305:M307,1)</f>
        <v>#N/A</v>
      </c>
    </row>
    <row r="306" spans="1:15" x14ac:dyDescent="0.2">
      <c r="A306" s="18" t="str">
        <f t="shared" ref="A306:A307" si="131">A305</f>
        <v>Hide</v>
      </c>
      <c r="B306" s="45"/>
      <c r="C306" s="45"/>
      <c r="D306" s="45"/>
      <c r="E306" s="45"/>
      <c r="F306" s="49"/>
      <c r="G306" s="49"/>
      <c r="H306" s="49"/>
      <c r="I306" s="237" t="e">
        <f t="shared" si="106"/>
        <v>#N/A</v>
      </c>
      <c r="J306" s="49"/>
      <c r="K306" s="49"/>
      <c r="L306" s="49"/>
      <c r="M306" s="394" t="e">
        <f t="shared" si="107"/>
        <v>#N/A</v>
      </c>
    </row>
    <row r="307" spans="1:15" ht="13.5" thickBot="1" x14ac:dyDescent="0.25">
      <c r="A307" s="18" t="str">
        <f t="shared" si="131"/>
        <v>Hide</v>
      </c>
      <c r="B307" s="45"/>
      <c r="E307" s="51"/>
      <c r="F307" s="50"/>
      <c r="G307" s="50"/>
      <c r="H307" s="50"/>
      <c r="I307" s="237" t="e">
        <f t="shared" si="106"/>
        <v>#N/A</v>
      </c>
      <c r="J307" s="50"/>
      <c r="K307" s="50"/>
      <c r="L307" s="50"/>
      <c r="M307" s="394" t="e">
        <f t="shared" si="107"/>
        <v>#N/A</v>
      </c>
    </row>
    <row r="308" spans="1:15" ht="13.5" thickTop="1" x14ac:dyDescent="0.2">
      <c r="A308" s="42" t="str">
        <f>'Ballot Entry'!A299</f>
        <v>Hide</v>
      </c>
      <c r="B308" s="43">
        <f>'Ballot Entry'!B299</f>
        <v>0</v>
      </c>
      <c r="C308" s="43" t="s">
        <v>285</v>
      </c>
      <c r="D308" s="44"/>
      <c r="E308" s="45"/>
      <c r="F308" s="44"/>
      <c r="G308" s="44"/>
      <c r="H308" s="44"/>
      <c r="I308" s="237" t="e">
        <f t="shared" si="106"/>
        <v>#N/A</v>
      </c>
      <c r="J308" s="44"/>
      <c r="K308" s="44"/>
      <c r="L308" s="44"/>
      <c r="M308" s="394" t="e">
        <f t="shared" si="107"/>
        <v>#N/A</v>
      </c>
      <c r="N308" s="35" t="e">
        <f t="shared" ref="N308" si="132">LARGE(I308:I310,3)&amp;","&amp;LARGE(I308:I310,2)&amp;","&amp;LARGE(I308:I310,1)</f>
        <v>#N/A</v>
      </c>
      <c r="O308" s="35" t="e">
        <f t="shared" ref="O308" si="133">LARGE(M308:M310,3)&amp;","&amp;LARGE(M308:M310,2)&amp;","&amp;LARGE(M308:M310,1)</f>
        <v>#N/A</v>
      </c>
    </row>
    <row r="309" spans="1:15" x14ac:dyDescent="0.2">
      <c r="A309" s="18" t="str">
        <f t="shared" ref="A309:A310" si="134">A308</f>
        <v>Hide</v>
      </c>
      <c r="B309" s="45"/>
      <c r="C309" s="45"/>
      <c r="D309" s="45"/>
      <c r="E309" s="45"/>
      <c r="F309" s="46"/>
      <c r="G309" s="46"/>
      <c r="H309" s="46"/>
      <c r="I309" s="237" t="e">
        <f t="shared" si="106"/>
        <v>#N/A</v>
      </c>
      <c r="J309" s="46"/>
      <c r="K309" s="46"/>
      <c r="L309" s="46"/>
      <c r="M309" s="394" t="e">
        <f t="shared" si="107"/>
        <v>#N/A</v>
      </c>
    </row>
    <row r="310" spans="1:15" ht="13.5" thickBot="1" x14ac:dyDescent="0.25">
      <c r="A310" s="18" t="str">
        <f t="shared" si="134"/>
        <v>Hide</v>
      </c>
      <c r="B310" s="45"/>
      <c r="E310" s="45"/>
      <c r="F310" s="47"/>
      <c r="G310" s="47"/>
      <c r="H310" s="47"/>
      <c r="I310" s="237" t="e">
        <f t="shared" si="106"/>
        <v>#N/A</v>
      </c>
      <c r="J310" s="47"/>
      <c r="K310" s="47"/>
      <c r="L310" s="47"/>
      <c r="M310" s="394" t="e">
        <f t="shared" si="107"/>
        <v>#N/A</v>
      </c>
    </row>
    <row r="311" spans="1:15" ht="13.5" thickTop="1" x14ac:dyDescent="0.2">
      <c r="A311" s="42" t="str">
        <f>'Ballot Entry'!A302</f>
        <v>Hide</v>
      </c>
      <c r="B311" s="43">
        <f>'Ballot Entry'!B302</f>
        <v>0</v>
      </c>
      <c r="C311" s="43" t="s">
        <v>285</v>
      </c>
      <c r="D311" s="48"/>
      <c r="E311" s="45"/>
      <c r="F311" s="48"/>
      <c r="G311" s="48"/>
      <c r="H311" s="48"/>
      <c r="I311" s="237" t="e">
        <f t="shared" si="106"/>
        <v>#N/A</v>
      </c>
      <c r="J311" s="48"/>
      <c r="K311" s="48"/>
      <c r="L311" s="48"/>
      <c r="M311" s="394" t="e">
        <f t="shared" si="107"/>
        <v>#N/A</v>
      </c>
      <c r="N311" s="35" t="e">
        <f t="shared" ref="N311" si="135">LARGE(I311:I313,3)&amp;","&amp;LARGE(I311:I313,2)&amp;","&amp;LARGE(I311:I313,1)</f>
        <v>#N/A</v>
      </c>
      <c r="O311" s="35" t="e">
        <f t="shared" ref="O311" si="136">LARGE(M311:M313,3)&amp;","&amp;LARGE(M311:M313,2)&amp;","&amp;LARGE(M311:M313,1)</f>
        <v>#N/A</v>
      </c>
    </row>
    <row r="312" spans="1:15" x14ac:dyDescent="0.2">
      <c r="A312" s="18" t="str">
        <f t="shared" ref="A312:A313" si="137">A311</f>
        <v>Hide</v>
      </c>
      <c r="B312" s="45"/>
      <c r="C312" s="45"/>
      <c r="D312" s="45"/>
      <c r="E312" s="45"/>
      <c r="F312" s="49"/>
      <c r="G312" s="49"/>
      <c r="H312" s="49"/>
      <c r="I312" s="237" t="e">
        <f t="shared" si="106"/>
        <v>#N/A</v>
      </c>
      <c r="J312" s="49"/>
      <c r="K312" s="49"/>
      <c r="L312" s="49"/>
      <c r="M312" s="394" t="e">
        <f t="shared" si="107"/>
        <v>#N/A</v>
      </c>
    </row>
    <row r="313" spans="1:15" ht="13.5" thickBot="1" x14ac:dyDescent="0.25">
      <c r="A313" s="18" t="str">
        <f t="shared" si="137"/>
        <v>Hide</v>
      </c>
      <c r="B313" s="45"/>
      <c r="E313" s="51"/>
      <c r="F313" s="50"/>
      <c r="G313" s="50"/>
      <c r="H313" s="50"/>
      <c r="I313" s="237" t="e">
        <f t="shared" si="106"/>
        <v>#N/A</v>
      </c>
      <c r="J313" s="50"/>
      <c r="K313" s="50"/>
      <c r="L313" s="50"/>
      <c r="M313" s="394" t="e">
        <f t="shared" si="107"/>
        <v>#N/A</v>
      </c>
    </row>
    <row r="314" spans="1:15" ht="13.5" thickTop="1" x14ac:dyDescent="0.2">
      <c r="A314" s="42" t="str">
        <f>'Ballot Entry'!A305</f>
        <v>Hide</v>
      </c>
      <c r="B314" s="43">
        <f>'Ballot Entry'!B305</f>
        <v>0</v>
      </c>
      <c r="C314" s="43" t="s">
        <v>285</v>
      </c>
      <c r="D314" s="44"/>
      <c r="E314" s="45"/>
      <c r="F314" s="44"/>
      <c r="G314" s="44"/>
      <c r="H314" s="44"/>
      <c r="I314" s="237" t="e">
        <f t="shared" si="106"/>
        <v>#N/A</v>
      </c>
      <c r="J314" s="44"/>
      <c r="K314" s="44"/>
      <c r="L314" s="44"/>
      <c r="M314" s="394" t="e">
        <f t="shared" si="107"/>
        <v>#N/A</v>
      </c>
      <c r="N314" s="35" t="e">
        <f t="shared" ref="N314" si="138">LARGE(I314:I316,3)&amp;","&amp;LARGE(I314:I316,2)&amp;","&amp;LARGE(I314:I316,1)</f>
        <v>#N/A</v>
      </c>
      <c r="O314" s="35" t="e">
        <f t="shared" ref="O314" si="139">LARGE(M314:M316,3)&amp;","&amp;LARGE(M314:M316,2)&amp;","&amp;LARGE(M314:M316,1)</f>
        <v>#N/A</v>
      </c>
    </row>
    <row r="315" spans="1:15" x14ac:dyDescent="0.2">
      <c r="A315" s="18" t="str">
        <f t="shared" ref="A315:A316" si="140">A314</f>
        <v>Hide</v>
      </c>
      <c r="B315" s="45"/>
      <c r="C315" s="45"/>
      <c r="D315" s="45"/>
      <c r="E315" s="45"/>
      <c r="F315" s="46"/>
      <c r="G315" s="46"/>
      <c r="H315" s="46"/>
      <c r="I315" s="237" t="e">
        <f t="shared" si="106"/>
        <v>#N/A</v>
      </c>
      <c r="J315" s="46"/>
      <c r="K315" s="46"/>
      <c r="L315" s="46"/>
      <c r="M315" s="394" t="e">
        <f t="shared" si="107"/>
        <v>#N/A</v>
      </c>
    </row>
    <row r="316" spans="1:15" ht="13.5" thickBot="1" x14ac:dyDescent="0.25">
      <c r="A316" s="18" t="str">
        <f t="shared" si="140"/>
        <v>Hide</v>
      </c>
      <c r="B316" s="45"/>
      <c r="E316" s="45"/>
      <c r="F316" s="47"/>
      <c r="G316" s="47"/>
      <c r="H316" s="47"/>
      <c r="I316" s="237" t="e">
        <f t="shared" si="106"/>
        <v>#N/A</v>
      </c>
      <c r="J316" s="47"/>
      <c r="K316" s="47"/>
      <c r="L316" s="47"/>
      <c r="M316" s="394" t="e">
        <f t="shared" si="107"/>
        <v>#N/A</v>
      </c>
    </row>
    <row r="317" spans="1:15" ht="13.5" thickTop="1" x14ac:dyDescent="0.2">
      <c r="A317" s="42" t="str">
        <f>'Ballot Entry'!A308</f>
        <v>Hide</v>
      </c>
      <c r="B317" s="43">
        <f>'Ballot Entry'!B308</f>
        <v>0</v>
      </c>
      <c r="C317" s="43" t="s">
        <v>285</v>
      </c>
      <c r="D317" s="48"/>
      <c r="E317" s="45"/>
      <c r="F317" s="48"/>
      <c r="G317" s="48"/>
      <c r="H317" s="48"/>
      <c r="I317" s="237" t="e">
        <f t="shared" si="106"/>
        <v>#N/A</v>
      </c>
      <c r="J317" s="48"/>
      <c r="K317" s="48"/>
      <c r="L317" s="48"/>
      <c r="M317" s="394" t="e">
        <f t="shared" si="107"/>
        <v>#N/A</v>
      </c>
      <c r="N317" s="35" t="e">
        <f t="shared" ref="N317" si="141">LARGE(I317:I319,3)&amp;","&amp;LARGE(I317:I319,2)&amp;","&amp;LARGE(I317:I319,1)</f>
        <v>#N/A</v>
      </c>
      <c r="O317" s="35" t="e">
        <f t="shared" ref="O317" si="142">LARGE(M317:M319,3)&amp;","&amp;LARGE(M317:M319,2)&amp;","&amp;LARGE(M317:M319,1)</f>
        <v>#N/A</v>
      </c>
    </row>
    <row r="318" spans="1:15" x14ac:dyDescent="0.2">
      <c r="A318" s="18" t="str">
        <f t="shared" ref="A318:A319" si="143">A317</f>
        <v>Hide</v>
      </c>
      <c r="B318" s="45"/>
      <c r="C318" s="45"/>
      <c r="D318" s="45"/>
      <c r="E318" s="45"/>
      <c r="F318" s="49"/>
      <c r="G318" s="49"/>
      <c r="H318" s="49"/>
      <c r="I318" s="237" t="e">
        <f t="shared" si="106"/>
        <v>#N/A</v>
      </c>
      <c r="J318" s="49"/>
      <c r="K318" s="49"/>
      <c r="L318" s="49"/>
      <c r="M318" s="394" t="e">
        <f t="shared" si="107"/>
        <v>#N/A</v>
      </c>
    </row>
    <row r="319" spans="1:15" ht="13.5" thickBot="1" x14ac:dyDescent="0.25">
      <c r="A319" s="18" t="str">
        <f t="shared" si="143"/>
        <v>Hide</v>
      </c>
      <c r="B319" s="45"/>
      <c r="E319" s="51"/>
      <c r="F319" s="50"/>
      <c r="G319" s="50"/>
      <c r="H319" s="50"/>
      <c r="I319" s="237" t="e">
        <f t="shared" si="106"/>
        <v>#N/A</v>
      </c>
      <c r="J319" s="50"/>
      <c r="K319" s="50"/>
      <c r="L319" s="50"/>
      <c r="M319" s="394" t="e">
        <f t="shared" si="107"/>
        <v>#N/A</v>
      </c>
    </row>
    <row r="320" spans="1:15" ht="13.5" thickTop="1" x14ac:dyDescent="0.2">
      <c r="A320" s="42" t="str">
        <f>'Ballot Entry'!A311</f>
        <v>Hide</v>
      </c>
      <c r="B320" s="43">
        <f>'Ballot Entry'!B311</f>
        <v>0</v>
      </c>
      <c r="C320" s="43" t="s">
        <v>285</v>
      </c>
      <c r="D320" s="44"/>
      <c r="E320" s="45"/>
      <c r="F320" s="44"/>
      <c r="G320" s="44"/>
      <c r="H320" s="44"/>
      <c r="I320" s="237" t="e">
        <f t="shared" si="106"/>
        <v>#N/A</v>
      </c>
      <c r="J320" s="44"/>
      <c r="K320" s="44"/>
      <c r="L320" s="44"/>
      <c r="M320" s="394" t="e">
        <f t="shared" si="107"/>
        <v>#N/A</v>
      </c>
      <c r="N320" s="35" t="e">
        <f t="shared" ref="N320" si="144">LARGE(I320:I322,3)&amp;","&amp;LARGE(I320:I322,2)&amp;","&amp;LARGE(I320:I322,1)</f>
        <v>#N/A</v>
      </c>
      <c r="O320" s="35" t="e">
        <f t="shared" ref="O320" si="145">LARGE(M320:M322,3)&amp;","&amp;LARGE(M320:M322,2)&amp;","&amp;LARGE(M320:M322,1)</f>
        <v>#N/A</v>
      </c>
    </row>
    <row r="321" spans="1:15" x14ac:dyDescent="0.2">
      <c r="A321" s="18" t="str">
        <f t="shared" ref="A321:A322" si="146">A320</f>
        <v>Hide</v>
      </c>
      <c r="B321" s="45"/>
      <c r="C321" s="45"/>
      <c r="D321" s="45"/>
      <c r="E321" s="45"/>
      <c r="F321" s="46"/>
      <c r="G321" s="46"/>
      <c r="H321" s="46"/>
      <c r="I321" s="237" t="e">
        <f t="shared" si="106"/>
        <v>#N/A</v>
      </c>
      <c r="J321" s="46"/>
      <c r="K321" s="46"/>
      <c r="L321" s="46"/>
      <c r="M321" s="394" t="e">
        <f t="shared" si="107"/>
        <v>#N/A</v>
      </c>
    </row>
    <row r="322" spans="1:15" ht="13.5" thickBot="1" x14ac:dyDescent="0.25">
      <c r="A322" s="18" t="str">
        <f t="shared" si="146"/>
        <v>Hide</v>
      </c>
      <c r="B322" s="45"/>
      <c r="E322" s="45"/>
      <c r="F322" s="47"/>
      <c r="G322" s="47"/>
      <c r="H322" s="47"/>
      <c r="I322" s="237" t="e">
        <f t="shared" si="106"/>
        <v>#N/A</v>
      </c>
      <c r="J322" s="47"/>
      <c r="K322" s="47"/>
      <c r="L322" s="47"/>
      <c r="M322" s="394" t="e">
        <f t="shared" si="107"/>
        <v>#N/A</v>
      </c>
    </row>
    <row r="323" spans="1:15" ht="13.5" thickTop="1" x14ac:dyDescent="0.2">
      <c r="A323" s="42" t="str">
        <f>'Ballot Entry'!A314</f>
        <v>Hide</v>
      </c>
      <c r="B323" s="43">
        <f>'Ballot Entry'!B314</f>
        <v>0</v>
      </c>
      <c r="C323" s="43" t="s">
        <v>285</v>
      </c>
      <c r="D323" s="48"/>
      <c r="E323" s="45"/>
      <c r="F323" s="48"/>
      <c r="G323" s="48"/>
      <c r="H323" s="48"/>
      <c r="I323" s="237" t="e">
        <f t="shared" si="106"/>
        <v>#N/A</v>
      </c>
      <c r="J323" s="48"/>
      <c r="K323" s="48"/>
      <c r="L323" s="48"/>
      <c r="M323" s="394" t="e">
        <f t="shared" si="107"/>
        <v>#N/A</v>
      </c>
      <c r="N323" s="35" t="e">
        <f t="shared" ref="N323" si="147">LARGE(I323:I325,3)&amp;","&amp;LARGE(I323:I325,2)&amp;","&amp;LARGE(I323:I325,1)</f>
        <v>#N/A</v>
      </c>
      <c r="O323" s="35" t="e">
        <f t="shared" ref="O323" si="148">LARGE(M323:M325,3)&amp;","&amp;LARGE(M323:M325,2)&amp;","&amp;LARGE(M323:M325,1)</f>
        <v>#N/A</v>
      </c>
    </row>
    <row r="324" spans="1:15" x14ac:dyDescent="0.2">
      <c r="A324" s="18" t="str">
        <f t="shared" ref="A324:A325" si="149">A323</f>
        <v>Hide</v>
      </c>
      <c r="B324" s="45"/>
      <c r="C324" s="45"/>
      <c r="D324" s="45"/>
      <c r="E324" s="45"/>
      <c r="F324" s="49"/>
      <c r="G324" s="49"/>
      <c r="H324" s="49"/>
      <c r="I324" s="237" t="e">
        <f t="shared" si="106"/>
        <v>#N/A</v>
      </c>
      <c r="J324" s="49"/>
      <c r="K324" s="49"/>
      <c r="L324" s="49"/>
      <c r="M324" s="394" t="e">
        <f t="shared" si="107"/>
        <v>#N/A</v>
      </c>
    </row>
    <row r="325" spans="1:15" ht="13.5" thickBot="1" x14ac:dyDescent="0.25">
      <c r="A325" s="18" t="str">
        <f t="shared" si="149"/>
        <v>Hide</v>
      </c>
      <c r="B325" s="45"/>
      <c r="E325" s="51"/>
      <c r="F325" s="50"/>
      <c r="G325" s="50"/>
      <c r="H325" s="50"/>
      <c r="I325" s="237" t="e">
        <f t="shared" si="106"/>
        <v>#N/A</v>
      </c>
      <c r="J325" s="50"/>
      <c r="K325" s="50"/>
      <c r="L325" s="50"/>
      <c r="M325" s="394" t="e">
        <f t="shared" si="107"/>
        <v>#N/A</v>
      </c>
    </row>
    <row r="326" spans="1:15" ht="13.5" thickTop="1" x14ac:dyDescent="0.2">
      <c r="A326" s="42" t="str">
        <f>'Ballot Entry'!A317</f>
        <v>Hide</v>
      </c>
      <c r="B326" s="43">
        <f>'Ballot Entry'!B317</f>
        <v>0</v>
      </c>
      <c r="C326" s="43" t="s">
        <v>285</v>
      </c>
      <c r="D326" s="44"/>
      <c r="E326" s="45"/>
      <c r="F326" s="44"/>
      <c r="G326" s="44"/>
      <c r="H326" s="44"/>
      <c r="I326" s="237" t="e">
        <f t="shared" si="106"/>
        <v>#N/A</v>
      </c>
      <c r="J326" s="44"/>
      <c r="K326" s="44"/>
      <c r="L326" s="44"/>
      <c r="M326" s="394" t="e">
        <f t="shared" si="107"/>
        <v>#N/A</v>
      </c>
      <c r="N326" s="35" t="e">
        <f t="shared" ref="N326" si="150">LARGE(I326:I328,3)&amp;","&amp;LARGE(I326:I328,2)&amp;","&amp;LARGE(I326:I328,1)</f>
        <v>#N/A</v>
      </c>
      <c r="O326" s="35" t="e">
        <f t="shared" ref="O326" si="151">LARGE(M326:M328,3)&amp;","&amp;LARGE(M326:M328,2)&amp;","&amp;LARGE(M326:M328,1)</f>
        <v>#N/A</v>
      </c>
    </row>
    <row r="327" spans="1:15" x14ac:dyDescent="0.2">
      <c r="A327" s="18" t="str">
        <f t="shared" ref="A327:A328" si="152">A326</f>
        <v>Hide</v>
      </c>
      <c r="B327" s="45"/>
      <c r="C327" s="45"/>
      <c r="D327" s="45"/>
      <c r="E327" s="45"/>
      <c r="F327" s="46"/>
      <c r="G327" s="46"/>
      <c r="H327" s="46"/>
      <c r="I327" s="237" t="e">
        <f t="shared" si="106"/>
        <v>#N/A</v>
      </c>
      <c r="J327" s="46"/>
      <c r="K327" s="46"/>
      <c r="L327" s="46"/>
      <c r="M327" s="394" t="e">
        <f t="shared" si="107"/>
        <v>#N/A</v>
      </c>
    </row>
    <row r="328" spans="1:15" ht="13.5" thickBot="1" x14ac:dyDescent="0.25">
      <c r="A328" s="18" t="str">
        <f t="shared" si="152"/>
        <v>Hide</v>
      </c>
      <c r="B328" s="45"/>
      <c r="E328" s="45"/>
      <c r="F328" s="47"/>
      <c r="G328" s="47"/>
      <c r="H328" s="47"/>
      <c r="I328" s="237" t="e">
        <f t="shared" si="106"/>
        <v>#N/A</v>
      </c>
      <c r="J328" s="47"/>
      <c r="K328" s="47"/>
      <c r="L328" s="47"/>
      <c r="M328" s="394" t="e">
        <f t="shared" si="107"/>
        <v>#N/A</v>
      </c>
    </row>
    <row r="329" spans="1:15" ht="14.25" thickTop="1" thickBot="1" x14ac:dyDescent="0.25">
      <c r="A329" s="52" t="str">
        <f>'Ballot Entry'!A320</f>
        <v>Round 4 Begins Here</v>
      </c>
      <c r="B329" s="52"/>
      <c r="C329" s="52"/>
      <c r="D329" s="93" t="s">
        <v>78</v>
      </c>
      <c r="E329" s="93"/>
      <c r="F329" s="93" t="s">
        <v>78</v>
      </c>
      <c r="G329" s="93"/>
      <c r="H329" s="93"/>
      <c r="I329" s="237">
        <f t="shared" si="104"/>
        <v>8</v>
      </c>
      <c r="J329" s="93" t="s">
        <v>78</v>
      </c>
      <c r="K329" s="93"/>
      <c r="L329" s="93"/>
      <c r="M329" s="394">
        <f t="shared" si="105"/>
        <v>8</v>
      </c>
    </row>
    <row r="330" spans="1:15" ht="13.5" thickTop="1" x14ac:dyDescent="0.2">
      <c r="A330" s="42" t="str">
        <f>'Ballot Entry'!A321</f>
        <v>4</v>
      </c>
      <c r="B330" s="43">
        <f>'Ballot Entry'!B321</f>
        <v>501</v>
      </c>
      <c r="C330" s="43" t="s">
        <v>285</v>
      </c>
      <c r="D330" s="44"/>
      <c r="E330" s="45"/>
      <c r="F330" s="44"/>
      <c r="G330" s="44"/>
      <c r="H330" s="44"/>
      <c r="I330" s="237" t="e">
        <f t="shared" si="104"/>
        <v>#N/A</v>
      </c>
      <c r="J330" s="44"/>
      <c r="K330" s="44"/>
      <c r="L330" s="44"/>
      <c r="M330" s="394" t="e">
        <f t="shared" si="105"/>
        <v>#N/A</v>
      </c>
      <c r="N330" s="35" t="e">
        <f>LARGE(I330:I332,3)&amp;","&amp;LARGE(I330:I332,2)&amp;","&amp;LARGE(I330:I332,1)</f>
        <v>#N/A</v>
      </c>
      <c r="O330" s="35" t="e">
        <f>LARGE(M330:M332,3)&amp;","&amp;LARGE(M330:M332,2)&amp;","&amp;LARGE(M330:M332,1)</f>
        <v>#N/A</v>
      </c>
    </row>
    <row r="331" spans="1:15" x14ac:dyDescent="0.2">
      <c r="A331" s="18" t="str">
        <f>A330</f>
        <v>4</v>
      </c>
      <c r="B331" s="45"/>
      <c r="C331" s="45"/>
      <c r="D331" s="45"/>
      <c r="E331" s="45"/>
      <c r="F331" s="46"/>
      <c r="G331" s="46"/>
      <c r="H331" s="46"/>
      <c r="I331" s="237" t="e">
        <f t="shared" si="104"/>
        <v>#N/A</v>
      </c>
      <c r="J331" s="46"/>
      <c r="K331" s="46"/>
      <c r="L331" s="46"/>
      <c r="M331" s="394" t="e">
        <f t="shared" si="105"/>
        <v>#N/A</v>
      </c>
    </row>
    <row r="332" spans="1:15" ht="13.5" thickBot="1" x14ac:dyDescent="0.25">
      <c r="A332" s="18" t="str">
        <f>A331</f>
        <v>4</v>
      </c>
      <c r="B332" s="45"/>
      <c r="E332" s="45"/>
      <c r="F332" s="47"/>
      <c r="G332" s="47"/>
      <c r="H332" s="47"/>
      <c r="I332" s="237" t="e">
        <f t="shared" si="104"/>
        <v>#N/A</v>
      </c>
      <c r="J332" s="47"/>
      <c r="K332" s="47"/>
      <c r="L332" s="47"/>
      <c r="M332" s="394" t="e">
        <f t="shared" si="105"/>
        <v>#N/A</v>
      </c>
    </row>
    <row r="333" spans="1:15" ht="13.5" thickTop="1" x14ac:dyDescent="0.2">
      <c r="A333" s="42" t="str">
        <f>'Ballot Entry'!A324</f>
        <v>4</v>
      </c>
      <c r="B333" s="43">
        <f>'Ballot Entry'!B324</f>
        <v>502</v>
      </c>
      <c r="C333" s="43" t="s">
        <v>285</v>
      </c>
      <c r="D333" s="48"/>
      <c r="E333" s="45"/>
      <c r="F333" s="48"/>
      <c r="G333" s="48"/>
      <c r="H333" s="48"/>
      <c r="I333" s="237" t="e">
        <f t="shared" si="104"/>
        <v>#N/A</v>
      </c>
      <c r="J333" s="48"/>
      <c r="K333" s="48"/>
      <c r="L333" s="48"/>
      <c r="M333" s="394" t="e">
        <f t="shared" si="105"/>
        <v>#N/A</v>
      </c>
      <c r="N333" s="35" t="e">
        <f>LARGE(I333:I335,3)&amp;","&amp;LARGE(I333:I335,2)&amp;","&amp;LARGE(I333:I335,1)</f>
        <v>#N/A</v>
      </c>
      <c r="O333" s="35" t="e">
        <f>LARGE(M333:M335,3)&amp;","&amp;LARGE(M333:M335,2)&amp;","&amp;LARGE(M333:M335,1)</f>
        <v>#N/A</v>
      </c>
    </row>
    <row r="334" spans="1:15" x14ac:dyDescent="0.2">
      <c r="A334" s="18" t="str">
        <f>A333</f>
        <v>4</v>
      </c>
      <c r="B334" s="45"/>
      <c r="C334" s="45"/>
      <c r="D334" s="45"/>
      <c r="E334" s="45"/>
      <c r="F334" s="49"/>
      <c r="G334" s="49"/>
      <c r="H334" s="49"/>
      <c r="I334" s="237" t="e">
        <f t="shared" si="104"/>
        <v>#N/A</v>
      </c>
      <c r="J334" s="49"/>
      <c r="K334" s="49"/>
      <c r="L334" s="49"/>
      <c r="M334" s="394" t="e">
        <f t="shared" si="105"/>
        <v>#N/A</v>
      </c>
    </row>
    <row r="335" spans="1:15" ht="13.5" thickBot="1" x14ac:dyDescent="0.25">
      <c r="A335" s="18" t="str">
        <f>A334</f>
        <v>4</v>
      </c>
      <c r="B335" s="45"/>
      <c r="E335" s="51"/>
      <c r="F335" s="50"/>
      <c r="G335" s="50"/>
      <c r="H335" s="50"/>
      <c r="I335" s="237" t="e">
        <f t="shared" si="104"/>
        <v>#N/A</v>
      </c>
      <c r="J335" s="50"/>
      <c r="K335" s="50"/>
      <c r="L335" s="50"/>
      <c r="M335" s="394" t="e">
        <f t="shared" si="105"/>
        <v>#N/A</v>
      </c>
    </row>
    <row r="336" spans="1:15" ht="13.5" thickTop="1" x14ac:dyDescent="0.2">
      <c r="A336" s="42" t="str">
        <f>'Ballot Entry'!A327</f>
        <v>4</v>
      </c>
      <c r="B336" s="43">
        <f>'Ballot Entry'!B327</f>
        <v>503</v>
      </c>
      <c r="C336" s="43" t="s">
        <v>285</v>
      </c>
      <c r="D336" s="44"/>
      <c r="E336" s="45"/>
      <c r="F336" s="44"/>
      <c r="G336" s="44"/>
      <c r="H336" s="44"/>
      <c r="I336" s="237" t="e">
        <f t="shared" si="104"/>
        <v>#N/A</v>
      </c>
      <c r="J336" s="44"/>
      <c r="K336" s="44"/>
      <c r="L336" s="44"/>
      <c r="M336" s="394" t="e">
        <f t="shared" si="105"/>
        <v>#N/A</v>
      </c>
      <c r="N336" s="35" t="e">
        <f>LARGE(I336:I338,3)&amp;","&amp;LARGE(I336:I338,2)&amp;","&amp;LARGE(I336:I338,1)</f>
        <v>#N/A</v>
      </c>
      <c r="O336" s="35" t="e">
        <f>LARGE(M336:M338,3)&amp;","&amp;LARGE(M336:M338,2)&amp;","&amp;LARGE(M336:M338,1)</f>
        <v>#N/A</v>
      </c>
    </row>
    <row r="337" spans="1:15" x14ac:dyDescent="0.2">
      <c r="A337" s="18" t="str">
        <f>A336</f>
        <v>4</v>
      </c>
      <c r="B337" s="45"/>
      <c r="C337" s="45"/>
      <c r="D337" s="45"/>
      <c r="E337" s="45"/>
      <c r="F337" s="46"/>
      <c r="G337" s="46"/>
      <c r="H337" s="46"/>
      <c r="I337" s="237" t="e">
        <f t="shared" si="104"/>
        <v>#N/A</v>
      </c>
      <c r="J337" s="46"/>
      <c r="K337" s="46"/>
      <c r="L337" s="46"/>
      <c r="M337" s="394" t="e">
        <f t="shared" si="105"/>
        <v>#N/A</v>
      </c>
    </row>
    <row r="338" spans="1:15" ht="13.5" thickBot="1" x14ac:dyDescent="0.25">
      <c r="A338" s="18" t="str">
        <f>A337</f>
        <v>4</v>
      </c>
      <c r="B338" s="45"/>
      <c r="E338" s="45"/>
      <c r="F338" s="47"/>
      <c r="G338" s="47"/>
      <c r="H338" s="47"/>
      <c r="I338" s="237" t="e">
        <f t="shared" si="104"/>
        <v>#N/A</v>
      </c>
      <c r="J338" s="47"/>
      <c r="K338" s="47"/>
      <c r="L338" s="47"/>
      <c r="M338" s="394" t="e">
        <f t="shared" si="105"/>
        <v>#N/A</v>
      </c>
    </row>
    <row r="339" spans="1:15" ht="13.5" thickTop="1" x14ac:dyDescent="0.2">
      <c r="A339" s="42" t="str">
        <f>'Ballot Entry'!A330</f>
        <v>4</v>
      </c>
      <c r="B339" s="43">
        <f>'Ballot Entry'!B330</f>
        <v>504</v>
      </c>
      <c r="C339" s="43" t="s">
        <v>285</v>
      </c>
      <c r="D339" s="48"/>
      <c r="E339" s="45"/>
      <c r="F339" s="48"/>
      <c r="G339" s="48"/>
      <c r="H339" s="48"/>
      <c r="I339" s="237" t="e">
        <f t="shared" ref="I339:I389" si="153">VLOOKUP(F339,Plookup,4,)</f>
        <v>#N/A</v>
      </c>
      <c r="J339" s="48"/>
      <c r="K339" s="48"/>
      <c r="L339" s="48"/>
      <c r="M339" s="394" t="e">
        <f t="shared" ref="M339:M389" si="154">VLOOKUP(J339,DLookup,4,)</f>
        <v>#N/A</v>
      </c>
      <c r="N339" s="35" t="e">
        <f>LARGE(I339:I341,3)&amp;","&amp;LARGE(I339:I341,2)&amp;","&amp;LARGE(I339:I341,1)</f>
        <v>#N/A</v>
      </c>
      <c r="O339" s="35" t="e">
        <f>LARGE(M339:M341,3)&amp;","&amp;LARGE(M339:M341,2)&amp;","&amp;LARGE(M339:M341,1)</f>
        <v>#N/A</v>
      </c>
    </row>
    <row r="340" spans="1:15" x14ac:dyDescent="0.2">
      <c r="A340" s="18" t="str">
        <f>A339</f>
        <v>4</v>
      </c>
      <c r="B340" s="45"/>
      <c r="C340" s="45"/>
      <c r="D340" s="45"/>
      <c r="E340" s="45"/>
      <c r="F340" s="49"/>
      <c r="G340" s="49"/>
      <c r="H340" s="49"/>
      <c r="I340" s="237" t="e">
        <f t="shared" si="153"/>
        <v>#N/A</v>
      </c>
      <c r="J340" s="49"/>
      <c r="K340" s="49"/>
      <c r="L340" s="49"/>
      <c r="M340" s="394" t="e">
        <f t="shared" si="154"/>
        <v>#N/A</v>
      </c>
    </row>
    <row r="341" spans="1:15" ht="13.5" thickBot="1" x14ac:dyDescent="0.25">
      <c r="A341" s="18" t="str">
        <f>A340</f>
        <v>4</v>
      </c>
      <c r="B341" s="45"/>
      <c r="E341" s="51"/>
      <c r="F341" s="50"/>
      <c r="G341" s="50"/>
      <c r="H341" s="50"/>
      <c r="I341" s="237" t="e">
        <f t="shared" si="153"/>
        <v>#N/A</v>
      </c>
      <c r="J341" s="50"/>
      <c r="K341" s="50"/>
      <c r="L341" s="50"/>
      <c r="M341" s="394" t="e">
        <f t="shared" si="154"/>
        <v>#N/A</v>
      </c>
    </row>
    <row r="342" spans="1:15" ht="13.5" thickTop="1" x14ac:dyDescent="0.2">
      <c r="A342" s="42" t="str">
        <f>'Ballot Entry'!A333</f>
        <v>4</v>
      </c>
      <c r="B342" s="43">
        <f>'Ballot Entry'!B333</f>
        <v>601</v>
      </c>
      <c r="C342" s="43" t="s">
        <v>285</v>
      </c>
      <c r="D342" s="44"/>
      <c r="E342" s="45"/>
      <c r="F342" s="44"/>
      <c r="G342" s="44"/>
      <c r="H342" s="44"/>
      <c r="I342" s="237" t="e">
        <f t="shared" si="153"/>
        <v>#N/A</v>
      </c>
      <c r="J342" s="44"/>
      <c r="K342" s="44"/>
      <c r="L342" s="44"/>
      <c r="M342" s="394" t="e">
        <f t="shared" si="154"/>
        <v>#N/A</v>
      </c>
      <c r="N342" s="35" t="e">
        <f>LARGE(I342:I344,3)&amp;","&amp;LARGE(I342:I344,2)&amp;","&amp;LARGE(I342:I344,1)</f>
        <v>#N/A</v>
      </c>
      <c r="O342" s="35" t="e">
        <f>LARGE(M342:M344,3)&amp;","&amp;LARGE(M342:M344,2)&amp;","&amp;LARGE(M342:M344,1)</f>
        <v>#N/A</v>
      </c>
    </row>
    <row r="343" spans="1:15" x14ac:dyDescent="0.2">
      <c r="A343" s="18" t="str">
        <f>A342</f>
        <v>4</v>
      </c>
      <c r="B343" s="45"/>
      <c r="C343" s="45"/>
      <c r="D343" s="45"/>
      <c r="E343" s="45"/>
      <c r="F343" s="46"/>
      <c r="G343" s="46"/>
      <c r="H343" s="46"/>
      <c r="I343" s="237" t="e">
        <f t="shared" si="153"/>
        <v>#N/A</v>
      </c>
      <c r="J343" s="46"/>
      <c r="K343" s="46"/>
      <c r="L343" s="46"/>
      <c r="M343" s="394" t="e">
        <f t="shared" si="154"/>
        <v>#N/A</v>
      </c>
    </row>
    <row r="344" spans="1:15" ht="13.5" thickBot="1" x14ac:dyDescent="0.25">
      <c r="A344" s="18" t="str">
        <f>A343</f>
        <v>4</v>
      </c>
      <c r="B344" s="45"/>
      <c r="E344" s="45"/>
      <c r="F344" s="47"/>
      <c r="G344" s="47"/>
      <c r="H344" s="47"/>
      <c r="I344" s="237" t="e">
        <f t="shared" si="153"/>
        <v>#N/A</v>
      </c>
      <c r="J344" s="47"/>
      <c r="K344" s="47"/>
      <c r="L344" s="47"/>
      <c r="M344" s="394" t="e">
        <f t="shared" si="154"/>
        <v>#N/A</v>
      </c>
    </row>
    <row r="345" spans="1:15" ht="13.5" thickTop="1" x14ac:dyDescent="0.2">
      <c r="A345" s="42" t="str">
        <f>'Ballot Entry'!A336</f>
        <v>4</v>
      </c>
      <c r="B345" s="43">
        <f>'Ballot Entry'!B336</f>
        <v>602</v>
      </c>
      <c r="C345" s="43" t="s">
        <v>285</v>
      </c>
      <c r="D345" s="48"/>
      <c r="E345" s="45"/>
      <c r="F345" s="48"/>
      <c r="G345" s="48"/>
      <c r="H345" s="48"/>
      <c r="I345" s="237" t="e">
        <f t="shared" si="153"/>
        <v>#N/A</v>
      </c>
      <c r="J345" s="48"/>
      <c r="K345" s="48"/>
      <c r="L345" s="48"/>
      <c r="M345" s="394" t="e">
        <f t="shared" si="154"/>
        <v>#N/A</v>
      </c>
      <c r="N345" s="35" t="e">
        <f>LARGE(I345:I347,3)&amp;","&amp;LARGE(I345:I347,2)&amp;","&amp;LARGE(I345:I347,1)</f>
        <v>#N/A</v>
      </c>
      <c r="O345" s="35" t="e">
        <f>LARGE(M345:M347,3)&amp;","&amp;LARGE(M345:M347,2)&amp;","&amp;LARGE(M345:M347,1)</f>
        <v>#N/A</v>
      </c>
    </row>
    <row r="346" spans="1:15" x14ac:dyDescent="0.2">
      <c r="A346" s="18" t="str">
        <f>A345</f>
        <v>4</v>
      </c>
      <c r="B346" s="45"/>
      <c r="C346" s="45"/>
      <c r="D346" s="45"/>
      <c r="E346" s="45"/>
      <c r="F346" s="49"/>
      <c r="G346" s="49"/>
      <c r="H346" s="49"/>
      <c r="I346" s="237" t="e">
        <f t="shared" si="153"/>
        <v>#N/A</v>
      </c>
      <c r="J346" s="49"/>
      <c r="K346" s="49"/>
      <c r="L346" s="49"/>
      <c r="M346" s="394" t="e">
        <f t="shared" si="154"/>
        <v>#N/A</v>
      </c>
    </row>
    <row r="347" spans="1:15" ht="13.5" thickBot="1" x14ac:dyDescent="0.25">
      <c r="A347" s="18" t="str">
        <f>A346</f>
        <v>4</v>
      </c>
      <c r="B347" s="45"/>
      <c r="E347" s="51"/>
      <c r="F347" s="50"/>
      <c r="G347" s="50"/>
      <c r="H347" s="50"/>
      <c r="I347" s="237" t="e">
        <f t="shared" si="153"/>
        <v>#N/A</v>
      </c>
      <c r="J347" s="50"/>
      <c r="K347" s="50"/>
      <c r="L347" s="50"/>
      <c r="M347" s="394" t="e">
        <f t="shared" si="154"/>
        <v>#N/A</v>
      </c>
    </row>
    <row r="348" spans="1:15" ht="13.5" thickTop="1" x14ac:dyDescent="0.2">
      <c r="A348" s="42" t="str">
        <f>'Ballot Entry'!A339</f>
        <v>4</v>
      </c>
      <c r="B348" s="43">
        <f>'Ballot Entry'!B339</f>
        <v>603</v>
      </c>
      <c r="C348" s="43" t="s">
        <v>285</v>
      </c>
      <c r="D348" s="44"/>
      <c r="E348" s="45"/>
      <c r="F348" s="44"/>
      <c r="G348" s="44"/>
      <c r="H348" s="44"/>
      <c r="I348" s="237" t="e">
        <f t="shared" si="153"/>
        <v>#N/A</v>
      </c>
      <c r="J348" s="44"/>
      <c r="K348" s="44"/>
      <c r="L348" s="44"/>
      <c r="M348" s="394" t="e">
        <f t="shared" si="154"/>
        <v>#N/A</v>
      </c>
      <c r="N348" s="35" t="e">
        <f>LARGE(I348:I350,3)&amp;","&amp;LARGE(I348:I350,2)&amp;","&amp;LARGE(I348:I350,1)</f>
        <v>#N/A</v>
      </c>
      <c r="O348" s="35" t="e">
        <f>LARGE(M348:M350,3)&amp;","&amp;LARGE(M348:M350,2)&amp;","&amp;LARGE(M348:M350,1)</f>
        <v>#N/A</v>
      </c>
    </row>
    <row r="349" spans="1:15" x14ac:dyDescent="0.2">
      <c r="A349" s="18" t="str">
        <f>A348</f>
        <v>4</v>
      </c>
      <c r="B349" s="45"/>
      <c r="C349" s="45"/>
      <c r="D349" s="45"/>
      <c r="E349" s="45"/>
      <c r="F349" s="46"/>
      <c r="G349" s="46"/>
      <c r="H349" s="46"/>
      <c r="I349" s="237" t="e">
        <f t="shared" si="153"/>
        <v>#N/A</v>
      </c>
      <c r="J349" s="46"/>
      <c r="K349" s="46"/>
      <c r="L349" s="46"/>
      <c r="M349" s="394" t="e">
        <f t="shared" si="154"/>
        <v>#N/A</v>
      </c>
    </row>
    <row r="350" spans="1:15" ht="13.5" thickBot="1" x14ac:dyDescent="0.25">
      <c r="A350" s="18" t="str">
        <f>A349</f>
        <v>4</v>
      </c>
      <c r="B350" s="45"/>
      <c r="E350" s="45"/>
      <c r="F350" s="47"/>
      <c r="G350" s="47"/>
      <c r="H350" s="47"/>
      <c r="I350" s="237" t="e">
        <f t="shared" si="153"/>
        <v>#N/A</v>
      </c>
      <c r="J350" s="47"/>
      <c r="K350" s="47"/>
      <c r="L350" s="47"/>
      <c r="M350" s="394" t="e">
        <f t="shared" si="154"/>
        <v>#N/A</v>
      </c>
    </row>
    <row r="351" spans="1:15" ht="13.5" thickTop="1" x14ac:dyDescent="0.2">
      <c r="A351" s="42" t="str">
        <f>'Ballot Entry'!A342</f>
        <v>4</v>
      </c>
      <c r="B351" s="43">
        <f>'Ballot Entry'!B342</f>
        <v>604</v>
      </c>
      <c r="C351" s="43" t="s">
        <v>285</v>
      </c>
      <c r="D351" s="48"/>
      <c r="E351" s="45"/>
      <c r="F351" s="48"/>
      <c r="G351" s="48"/>
      <c r="H351" s="48"/>
      <c r="I351" s="237" t="e">
        <f t="shared" si="153"/>
        <v>#N/A</v>
      </c>
      <c r="J351" s="48"/>
      <c r="K351" s="48"/>
      <c r="L351" s="48"/>
      <c r="M351" s="394" t="e">
        <f t="shared" si="154"/>
        <v>#N/A</v>
      </c>
      <c r="N351" s="35" t="e">
        <f>LARGE(I351:I353,3)&amp;","&amp;LARGE(I351:I353,2)&amp;","&amp;LARGE(I351:I353,1)</f>
        <v>#N/A</v>
      </c>
      <c r="O351" s="35" t="e">
        <f>LARGE(M351:M353,3)&amp;","&amp;LARGE(M351:M353,2)&amp;","&amp;LARGE(M351:M353,1)</f>
        <v>#N/A</v>
      </c>
    </row>
    <row r="352" spans="1:15" x14ac:dyDescent="0.2">
      <c r="A352" s="18" t="str">
        <f>A351</f>
        <v>4</v>
      </c>
      <c r="B352" s="45"/>
      <c r="C352" s="45"/>
      <c r="D352" s="45"/>
      <c r="E352" s="45"/>
      <c r="F352" s="49"/>
      <c r="G352" s="49"/>
      <c r="H352" s="49"/>
      <c r="I352" s="237" t="e">
        <f t="shared" si="153"/>
        <v>#N/A</v>
      </c>
      <c r="J352" s="49"/>
      <c r="K352" s="49"/>
      <c r="L352" s="49"/>
      <c r="M352" s="394" t="e">
        <f t="shared" si="154"/>
        <v>#N/A</v>
      </c>
    </row>
    <row r="353" spans="1:15" ht="13.5" thickBot="1" x14ac:dyDescent="0.25">
      <c r="A353" s="18" t="str">
        <f>A352</f>
        <v>4</v>
      </c>
      <c r="B353" s="45"/>
      <c r="E353" s="51"/>
      <c r="F353" s="50"/>
      <c r="G353" s="50"/>
      <c r="H353" s="50"/>
      <c r="I353" s="237" t="e">
        <f t="shared" si="153"/>
        <v>#N/A</v>
      </c>
      <c r="J353" s="50"/>
      <c r="K353" s="50"/>
      <c r="L353" s="50"/>
      <c r="M353" s="394" t="e">
        <f t="shared" si="154"/>
        <v>#N/A</v>
      </c>
    </row>
    <row r="354" spans="1:15" ht="13.5" thickTop="1" x14ac:dyDescent="0.2">
      <c r="A354" s="42" t="str">
        <f>'Ballot Entry'!A345</f>
        <v>4</v>
      </c>
      <c r="B354" s="43" t="str">
        <f>'Ballot Entry'!B345</f>
        <v>MCR - 7th</v>
      </c>
      <c r="C354" s="43" t="s">
        <v>285</v>
      </c>
      <c r="D354" s="44"/>
      <c r="E354" s="45"/>
      <c r="F354" s="44"/>
      <c r="G354" s="44"/>
      <c r="H354" s="44"/>
      <c r="I354" s="237" t="e">
        <f t="shared" si="153"/>
        <v>#N/A</v>
      </c>
      <c r="J354" s="44"/>
      <c r="K354" s="44"/>
      <c r="L354" s="44"/>
      <c r="M354" s="394" t="e">
        <f t="shared" si="154"/>
        <v>#N/A</v>
      </c>
      <c r="N354" s="35" t="e">
        <f>LARGE(I354:I356,3)&amp;","&amp;LARGE(I354:I356,2)&amp;","&amp;LARGE(I354:I356,1)</f>
        <v>#N/A</v>
      </c>
      <c r="O354" s="35" t="e">
        <f>LARGE(M354:M356,3)&amp;","&amp;LARGE(M354:M356,2)&amp;","&amp;LARGE(M354:M356,1)</f>
        <v>#N/A</v>
      </c>
    </row>
    <row r="355" spans="1:15" x14ac:dyDescent="0.2">
      <c r="A355" s="18" t="str">
        <f>A354</f>
        <v>4</v>
      </c>
      <c r="B355" s="45"/>
      <c r="C355" s="45"/>
      <c r="D355" s="45"/>
      <c r="E355" s="45"/>
      <c r="F355" s="46"/>
      <c r="G355" s="46"/>
      <c r="H355" s="46"/>
      <c r="I355" s="237" t="e">
        <f t="shared" si="153"/>
        <v>#N/A</v>
      </c>
      <c r="J355" s="46"/>
      <c r="K355" s="46"/>
      <c r="L355" s="46"/>
      <c r="M355" s="394" t="e">
        <f t="shared" si="154"/>
        <v>#N/A</v>
      </c>
    </row>
    <row r="356" spans="1:15" ht="13.5" thickBot="1" x14ac:dyDescent="0.25">
      <c r="A356" s="18" t="str">
        <f>A355</f>
        <v>4</v>
      </c>
      <c r="B356" s="45"/>
      <c r="E356" s="45"/>
      <c r="F356" s="47"/>
      <c r="G356" s="47"/>
      <c r="H356" s="47"/>
      <c r="I356" s="237" t="e">
        <f t="shared" si="153"/>
        <v>#N/A</v>
      </c>
      <c r="J356" s="47"/>
      <c r="K356" s="47"/>
      <c r="L356" s="47"/>
      <c r="M356" s="394" t="e">
        <f t="shared" si="154"/>
        <v>#N/A</v>
      </c>
    </row>
    <row r="357" spans="1:15" ht="13.5" thickTop="1" x14ac:dyDescent="0.2">
      <c r="A357" s="42" t="str">
        <f>'Ballot Entry'!A348</f>
        <v>Hide</v>
      </c>
      <c r="B357" s="43">
        <f>'Ballot Entry'!B348</f>
        <v>0</v>
      </c>
      <c r="C357" s="43" t="s">
        <v>285</v>
      </c>
      <c r="D357" s="48"/>
      <c r="E357" s="45"/>
      <c r="F357" s="48"/>
      <c r="G357" s="48"/>
      <c r="H357" s="48"/>
      <c r="I357" s="237" t="e">
        <f t="shared" si="153"/>
        <v>#N/A</v>
      </c>
      <c r="J357" s="48"/>
      <c r="K357" s="48"/>
      <c r="L357" s="48"/>
      <c r="M357" s="394" t="e">
        <f t="shared" si="154"/>
        <v>#N/A</v>
      </c>
      <c r="N357" s="35" t="e">
        <f>LARGE(I357:I359,3)&amp;","&amp;LARGE(I357:I359,2)&amp;","&amp;LARGE(I357:I359,1)</f>
        <v>#N/A</v>
      </c>
      <c r="O357" s="35" t="e">
        <f>LARGE(M357:M359,3)&amp;","&amp;LARGE(M357:M359,2)&amp;","&amp;LARGE(M357:M359,1)</f>
        <v>#N/A</v>
      </c>
    </row>
    <row r="358" spans="1:15" x14ac:dyDescent="0.2">
      <c r="A358" s="18" t="str">
        <f>A357</f>
        <v>Hide</v>
      </c>
      <c r="B358" s="45"/>
      <c r="C358" s="45"/>
      <c r="D358" s="45"/>
      <c r="E358" s="45"/>
      <c r="F358" s="49"/>
      <c r="G358" s="49"/>
      <c r="H358" s="49"/>
      <c r="I358" s="237" t="e">
        <f t="shared" si="153"/>
        <v>#N/A</v>
      </c>
      <c r="J358" s="49"/>
      <c r="K358" s="49"/>
      <c r="L358" s="49"/>
      <c r="M358" s="394" t="e">
        <f t="shared" si="154"/>
        <v>#N/A</v>
      </c>
    </row>
    <row r="359" spans="1:15" ht="13.5" thickBot="1" x14ac:dyDescent="0.25">
      <c r="A359" s="18" t="str">
        <f>A358</f>
        <v>Hide</v>
      </c>
      <c r="B359" s="45"/>
      <c r="E359" s="51"/>
      <c r="F359" s="50"/>
      <c r="G359" s="50"/>
      <c r="H359" s="50"/>
      <c r="I359" s="237" t="e">
        <f t="shared" si="153"/>
        <v>#N/A</v>
      </c>
      <c r="J359" s="50"/>
      <c r="K359" s="50"/>
      <c r="L359" s="50"/>
      <c r="M359" s="394" t="e">
        <f t="shared" si="154"/>
        <v>#N/A</v>
      </c>
    </row>
    <row r="360" spans="1:15" ht="13.5" thickTop="1" x14ac:dyDescent="0.2">
      <c r="A360" s="42" t="str">
        <f>'Ballot Entry'!A351</f>
        <v>Hide</v>
      </c>
      <c r="B360" s="43">
        <f>'Ballot Entry'!B351</f>
        <v>0</v>
      </c>
      <c r="C360" s="43" t="s">
        <v>285</v>
      </c>
      <c r="D360" s="44"/>
      <c r="E360" s="45"/>
      <c r="F360" s="44"/>
      <c r="G360" s="44"/>
      <c r="H360" s="44"/>
      <c r="I360" s="237" t="e">
        <f t="shared" si="153"/>
        <v>#N/A</v>
      </c>
      <c r="J360" s="44"/>
      <c r="K360" s="44"/>
      <c r="L360" s="44"/>
      <c r="M360" s="394" t="e">
        <f t="shared" si="154"/>
        <v>#N/A</v>
      </c>
      <c r="N360" s="35" t="e">
        <f>LARGE(I360:I362,3)&amp;","&amp;LARGE(I360:I362,2)&amp;","&amp;LARGE(I360:I362,1)</f>
        <v>#N/A</v>
      </c>
      <c r="O360" s="35" t="e">
        <f>LARGE(M360:M362,3)&amp;","&amp;LARGE(M360:M362,2)&amp;","&amp;LARGE(M360:M362,1)</f>
        <v>#N/A</v>
      </c>
    </row>
    <row r="361" spans="1:15" x14ac:dyDescent="0.2">
      <c r="A361" s="18" t="str">
        <f>A360</f>
        <v>Hide</v>
      </c>
      <c r="B361" s="45"/>
      <c r="C361" s="45"/>
      <c r="D361" s="45"/>
      <c r="E361" s="45"/>
      <c r="F361" s="46"/>
      <c r="G361" s="46"/>
      <c r="H361" s="46"/>
      <c r="I361" s="237" t="e">
        <f t="shared" si="153"/>
        <v>#N/A</v>
      </c>
      <c r="J361" s="46"/>
      <c r="K361" s="46"/>
      <c r="L361" s="46"/>
      <c r="M361" s="394" t="e">
        <f t="shared" si="154"/>
        <v>#N/A</v>
      </c>
    </row>
    <row r="362" spans="1:15" ht="13.5" thickBot="1" x14ac:dyDescent="0.25">
      <c r="A362" s="18" t="str">
        <f>A361</f>
        <v>Hide</v>
      </c>
      <c r="B362" s="45"/>
      <c r="E362" s="45"/>
      <c r="F362" s="47"/>
      <c r="G362" s="47"/>
      <c r="H362" s="47"/>
      <c r="I362" s="237" t="e">
        <f t="shared" si="153"/>
        <v>#N/A</v>
      </c>
      <c r="J362" s="47"/>
      <c r="K362" s="47"/>
      <c r="L362" s="47"/>
      <c r="M362" s="394" t="e">
        <f t="shared" si="154"/>
        <v>#N/A</v>
      </c>
    </row>
    <row r="363" spans="1:15" ht="13.5" thickTop="1" x14ac:dyDescent="0.2">
      <c r="A363" s="42" t="str">
        <f>'Ballot Entry'!A354</f>
        <v>Hide</v>
      </c>
      <c r="B363" s="43">
        <f>'Ballot Entry'!B354</f>
        <v>0</v>
      </c>
      <c r="C363" s="43" t="s">
        <v>285</v>
      </c>
      <c r="D363" s="48"/>
      <c r="E363" s="45"/>
      <c r="F363" s="48"/>
      <c r="G363" s="48"/>
      <c r="H363" s="48"/>
      <c r="I363" s="237" t="e">
        <f t="shared" si="153"/>
        <v>#N/A</v>
      </c>
      <c r="J363" s="48"/>
      <c r="K363" s="48"/>
      <c r="L363" s="48"/>
      <c r="M363" s="394" t="e">
        <f t="shared" si="154"/>
        <v>#N/A</v>
      </c>
      <c r="N363" s="35" t="e">
        <f>LARGE(I363:I365,3)&amp;","&amp;LARGE(I363:I365,2)&amp;","&amp;LARGE(I363:I365,1)</f>
        <v>#N/A</v>
      </c>
      <c r="O363" s="35" t="e">
        <f>LARGE(M363:M365,3)&amp;","&amp;LARGE(M363:M365,2)&amp;","&amp;LARGE(M363:M365,1)</f>
        <v>#N/A</v>
      </c>
    </row>
    <row r="364" spans="1:15" x14ac:dyDescent="0.2">
      <c r="A364" s="18" t="str">
        <f>A363</f>
        <v>Hide</v>
      </c>
      <c r="B364" s="45"/>
      <c r="C364" s="45"/>
      <c r="D364" s="45"/>
      <c r="E364" s="45"/>
      <c r="F364" s="49"/>
      <c r="G364" s="49"/>
      <c r="H364" s="49"/>
      <c r="I364" s="237" t="e">
        <f t="shared" si="153"/>
        <v>#N/A</v>
      </c>
      <c r="J364" s="49"/>
      <c r="K364" s="49"/>
      <c r="L364" s="49"/>
      <c r="M364" s="394" t="e">
        <f t="shared" si="154"/>
        <v>#N/A</v>
      </c>
    </row>
    <row r="365" spans="1:15" ht="13.5" thickBot="1" x14ac:dyDescent="0.25">
      <c r="A365" s="18" t="str">
        <f>A364</f>
        <v>Hide</v>
      </c>
      <c r="B365" s="45"/>
      <c r="E365" s="51"/>
      <c r="F365" s="50"/>
      <c r="G365" s="50"/>
      <c r="H365" s="50"/>
      <c r="I365" s="237" t="e">
        <f t="shared" si="153"/>
        <v>#N/A</v>
      </c>
      <c r="J365" s="50"/>
      <c r="K365" s="50"/>
      <c r="L365" s="50"/>
      <c r="M365" s="394" t="e">
        <f t="shared" si="154"/>
        <v>#N/A</v>
      </c>
    </row>
    <row r="366" spans="1:15" ht="13.5" thickTop="1" x14ac:dyDescent="0.2">
      <c r="A366" s="42" t="str">
        <f>'Ballot Entry'!A357</f>
        <v>Hide</v>
      </c>
      <c r="B366" s="43">
        <f>'Ballot Entry'!B357</f>
        <v>0</v>
      </c>
      <c r="C366" s="43" t="s">
        <v>285</v>
      </c>
      <c r="D366" s="44"/>
      <c r="E366" s="45"/>
      <c r="F366" s="44"/>
      <c r="G366" s="44"/>
      <c r="H366" s="44"/>
      <c r="I366" s="237" t="e">
        <f t="shared" si="153"/>
        <v>#N/A</v>
      </c>
      <c r="J366" s="44"/>
      <c r="K366" s="44"/>
      <c r="L366" s="44"/>
      <c r="M366" s="394" t="e">
        <f t="shared" si="154"/>
        <v>#N/A</v>
      </c>
      <c r="N366" s="35" t="e">
        <f>LARGE(I366:I368,3)&amp;","&amp;LARGE(I366:I368,2)&amp;","&amp;LARGE(I366:I368,1)</f>
        <v>#N/A</v>
      </c>
      <c r="O366" s="35" t="e">
        <f>LARGE(M366:M368,3)&amp;","&amp;LARGE(M366:M368,2)&amp;","&amp;LARGE(M366:M368,1)</f>
        <v>#N/A</v>
      </c>
    </row>
    <row r="367" spans="1:15" x14ac:dyDescent="0.2">
      <c r="A367" s="18" t="str">
        <f>A366</f>
        <v>Hide</v>
      </c>
      <c r="B367" s="45"/>
      <c r="C367" s="45"/>
      <c r="D367" s="45"/>
      <c r="E367" s="45"/>
      <c r="F367" s="46"/>
      <c r="G367" s="46"/>
      <c r="H367" s="46"/>
      <c r="I367" s="237" t="e">
        <f t="shared" si="153"/>
        <v>#N/A</v>
      </c>
      <c r="J367" s="46"/>
      <c r="K367" s="46"/>
      <c r="L367" s="46"/>
      <c r="M367" s="394" t="e">
        <f t="shared" si="154"/>
        <v>#N/A</v>
      </c>
    </row>
    <row r="368" spans="1:15" ht="13.5" thickBot="1" x14ac:dyDescent="0.25">
      <c r="A368" s="18" t="str">
        <f>A367</f>
        <v>Hide</v>
      </c>
      <c r="B368" s="45"/>
      <c r="E368" s="45"/>
      <c r="F368" s="47"/>
      <c r="G368" s="47"/>
      <c r="H368" s="47"/>
      <c r="I368" s="237" t="e">
        <f t="shared" si="153"/>
        <v>#N/A</v>
      </c>
      <c r="J368" s="47"/>
      <c r="K368" s="47"/>
      <c r="L368" s="47"/>
      <c r="M368" s="394" t="e">
        <f t="shared" si="154"/>
        <v>#N/A</v>
      </c>
    </row>
    <row r="369" spans="1:15" ht="13.5" thickTop="1" x14ac:dyDescent="0.2">
      <c r="A369" s="42" t="str">
        <f>'Ballot Entry'!A360</f>
        <v>Hide</v>
      </c>
      <c r="B369" s="43">
        <f>'Ballot Entry'!B360</f>
        <v>0</v>
      </c>
      <c r="C369" s="43" t="s">
        <v>285</v>
      </c>
      <c r="D369" s="48"/>
      <c r="E369" s="45"/>
      <c r="F369" s="48"/>
      <c r="G369" s="48"/>
      <c r="H369" s="48"/>
      <c r="I369" s="237" t="e">
        <f t="shared" si="153"/>
        <v>#N/A</v>
      </c>
      <c r="J369" s="48"/>
      <c r="K369" s="48"/>
      <c r="L369" s="48"/>
      <c r="M369" s="394" t="e">
        <f t="shared" si="154"/>
        <v>#N/A</v>
      </c>
      <c r="N369" s="35" t="e">
        <f>LARGE(I369:I371,3)&amp;","&amp;LARGE(I369:I371,2)&amp;","&amp;LARGE(I369:I371,1)</f>
        <v>#N/A</v>
      </c>
      <c r="O369" s="35" t="e">
        <f>LARGE(M369:M371,3)&amp;","&amp;LARGE(M369:M371,2)&amp;","&amp;LARGE(M369:M371,1)</f>
        <v>#N/A</v>
      </c>
    </row>
    <row r="370" spans="1:15" x14ac:dyDescent="0.2">
      <c r="A370" s="18" t="str">
        <f>A369</f>
        <v>Hide</v>
      </c>
      <c r="B370" s="45"/>
      <c r="C370" s="45"/>
      <c r="D370" s="45"/>
      <c r="E370" s="45"/>
      <c r="F370" s="49"/>
      <c r="G370" s="49"/>
      <c r="H370" s="49"/>
      <c r="I370" s="237" t="e">
        <f t="shared" si="153"/>
        <v>#N/A</v>
      </c>
      <c r="J370" s="49"/>
      <c r="K370" s="49"/>
      <c r="L370" s="49"/>
      <c r="M370" s="394" t="e">
        <f t="shared" si="154"/>
        <v>#N/A</v>
      </c>
    </row>
    <row r="371" spans="1:15" ht="13.5" thickBot="1" x14ac:dyDescent="0.25">
      <c r="A371" s="18" t="str">
        <f>A370</f>
        <v>Hide</v>
      </c>
      <c r="B371" s="45"/>
      <c r="E371" s="51"/>
      <c r="F371" s="50"/>
      <c r="G371" s="50"/>
      <c r="H371" s="50"/>
      <c r="I371" s="237" t="e">
        <f t="shared" si="153"/>
        <v>#N/A</v>
      </c>
      <c r="J371" s="50"/>
      <c r="K371" s="50"/>
      <c r="L371" s="50"/>
      <c r="M371" s="394" t="e">
        <f t="shared" si="154"/>
        <v>#N/A</v>
      </c>
    </row>
    <row r="372" spans="1:15" ht="13.5" thickTop="1" x14ac:dyDescent="0.2">
      <c r="A372" s="42" t="str">
        <f>'Ballot Entry'!A363</f>
        <v>Hide</v>
      </c>
      <c r="B372" s="43">
        <f>'Ballot Entry'!B363</f>
        <v>0</v>
      </c>
      <c r="C372" s="43" t="s">
        <v>285</v>
      </c>
      <c r="D372" s="44"/>
      <c r="E372" s="45"/>
      <c r="F372" s="44"/>
      <c r="G372" s="44"/>
      <c r="H372" s="44"/>
      <c r="I372" s="237" t="e">
        <f t="shared" si="153"/>
        <v>#N/A</v>
      </c>
      <c r="J372" s="44"/>
      <c r="K372" s="44"/>
      <c r="L372" s="44"/>
      <c r="M372" s="394" t="e">
        <f t="shared" si="154"/>
        <v>#N/A</v>
      </c>
      <c r="N372" s="35" t="e">
        <f>LARGE(I372:I374,3)&amp;","&amp;LARGE(I372:I374,2)&amp;","&amp;LARGE(I372:I374,1)</f>
        <v>#N/A</v>
      </c>
      <c r="O372" s="35" t="e">
        <f>LARGE(M372:M374,3)&amp;","&amp;LARGE(M372:M374,2)&amp;","&amp;LARGE(M372:M374,1)</f>
        <v>#N/A</v>
      </c>
    </row>
    <row r="373" spans="1:15" x14ac:dyDescent="0.2">
      <c r="A373" s="18" t="str">
        <f>A372</f>
        <v>Hide</v>
      </c>
      <c r="B373" s="45"/>
      <c r="C373" s="45"/>
      <c r="D373" s="45"/>
      <c r="E373" s="45"/>
      <c r="F373" s="46"/>
      <c r="G373" s="46"/>
      <c r="H373" s="46"/>
      <c r="I373" s="237" t="e">
        <f t="shared" si="153"/>
        <v>#N/A</v>
      </c>
      <c r="J373" s="46"/>
      <c r="K373" s="46"/>
      <c r="L373" s="46"/>
      <c r="M373" s="394" t="e">
        <f t="shared" si="154"/>
        <v>#N/A</v>
      </c>
    </row>
    <row r="374" spans="1:15" ht="13.5" thickBot="1" x14ac:dyDescent="0.25">
      <c r="A374" s="18" t="str">
        <f>A373</f>
        <v>Hide</v>
      </c>
      <c r="B374" s="45"/>
      <c r="E374" s="45"/>
      <c r="F374" s="47"/>
      <c r="G374" s="47"/>
      <c r="H374" s="47"/>
      <c r="I374" s="237" t="e">
        <f t="shared" si="153"/>
        <v>#N/A</v>
      </c>
      <c r="J374" s="47"/>
      <c r="K374" s="47"/>
      <c r="L374" s="47"/>
      <c r="M374" s="394" t="e">
        <f t="shared" si="154"/>
        <v>#N/A</v>
      </c>
    </row>
    <row r="375" spans="1:15" ht="13.5" thickTop="1" x14ac:dyDescent="0.2">
      <c r="A375" s="42" t="str">
        <f>'Ballot Entry'!A366</f>
        <v>Hide</v>
      </c>
      <c r="B375" s="43">
        <f>'Ballot Entry'!B366</f>
        <v>0</v>
      </c>
      <c r="C375" s="43" t="s">
        <v>285</v>
      </c>
      <c r="D375" s="48"/>
      <c r="E375" s="45"/>
      <c r="F375" s="48"/>
      <c r="G375" s="48"/>
      <c r="H375" s="48"/>
      <c r="I375" s="237" t="e">
        <f t="shared" si="153"/>
        <v>#N/A</v>
      </c>
      <c r="J375" s="48"/>
      <c r="K375" s="48"/>
      <c r="L375" s="48"/>
      <c r="M375" s="394" t="e">
        <f t="shared" si="154"/>
        <v>#N/A</v>
      </c>
      <c r="N375" s="35" t="e">
        <f>LARGE(I375:I377,3)&amp;","&amp;LARGE(I375:I377,2)&amp;","&amp;LARGE(I375:I377,1)</f>
        <v>#N/A</v>
      </c>
      <c r="O375" s="35" t="e">
        <f>LARGE(M375:M377,3)&amp;","&amp;LARGE(M375:M377,2)&amp;","&amp;LARGE(M375:M377,1)</f>
        <v>#N/A</v>
      </c>
    </row>
    <row r="376" spans="1:15" x14ac:dyDescent="0.2">
      <c r="A376" s="18" t="str">
        <f>A375</f>
        <v>Hide</v>
      </c>
      <c r="B376" s="45"/>
      <c r="C376" s="45"/>
      <c r="D376" s="45"/>
      <c r="E376" s="45"/>
      <c r="F376" s="49"/>
      <c r="G376" s="49"/>
      <c r="H376" s="49"/>
      <c r="I376" s="237" t="e">
        <f t="shared" si="153"/>
        <v>#N/A</v>
      </c>
      <c r="J376" s="49"/>
      <c r="K376" s="49"/>
      <c r="L376" s="49"/>
      <c r="M376" s="394" t="e">
        <f t="shared" si="154"/>
        <v>#N/A</v>
      </c>
    </row>
    <row r="377" spans="1:15" ht="13.5" thickBot="1" x14ac:dyDescent="0.25">
      <c r="A377" s="18" t="str">
        <f>A376</f>
        <v>Hide</v>
      </c>
      <c r="B377" s="45"/>
      <c r="E377" s="51"/>
      <c r="F377" s="50"/>
      <c r="G377" s="50"/>
      <c r="H377" s="50"/>
      <c r="I377" s="237" t="e">
        <f t="shared" si="153"/>
        <v>#N/A</v>
      </c>
      <c r="J377" s="50"/>
      <c r="K377" s="50"/>
      <c r="L377" s="50"/>
      <c r="M377" s="394" t="e">
        <f t="shared" si="154"/>
        <v>#N/A</v>
      </c>
    </row>
    <row r="378" spans="1:15" ht="13.5" thickTop="1" x14ac:dyDescent="0.2">
      <c r="A378" s="42" t="str">
        <f>'Ballot Entry'!A369</f>
        <v>Hide</v>
      </c>
      <c r="B378" s="43">
        <f>'Ballot Entry'!B369</f>
        <v>0</v>
      </c>
      <c r="C378" s="43" t="s">
        <v>285</v>
      </c>
      <c r="D378" s="44"/>
      <c r="E378" s="45"/>
      <c r="F378" s="44"/>
      <c r="G378" s="44"/>
      <c r="H378" s="44"/>
      <c r="I378" s="237" t="e">
        <f t="shared" si="153"/>
        <v>#N/A</v>
      </c>
      <c r="J378" s="44"/>
      <c r="K378" s="44"/>
      <c r="L378" s="44"/>
      <c r="M378" s="394" t="e">
        <f t="shared" si="154"/>
        <v>#N/A</v>
      </c>
      <c r="N378" s="35" t="e">
        <f>LARGE(I378:I380,3)&amp;","&amp;LARGE(I378:I380,2)&amp;","&amp;LARGE(I378:I380,1)</f>
        <v>#N/A</v>
      </c>
      <c r="O378" s="35" t="e">
        <f>LARGE(M378:M380,3)&amp;","&amp;LARGE(M378:M380,2)&amp;","&amp;LARGE(M378:M380,1)</f>
        <v>#N/A</v>
      </c>
    </row>
    <row r="379" spans="1:15" x14ac:dyDescent="0.2">
      <c r="A379" s="18" t="str">
        <f>A378</f>
        <v>Hide</v>
      </c>
      <c r="B379" s="45"/>
      <c r="C379" s="45"/>
      <c r="D379" s="45"/>
      <c r="E379" s="45"/>
      <c r="F379" s="46"/>
      <c r="G379" s="46"/>
      <c r="H379" s="46"/>
      <c r="I379" s="237" t="e">
        <f t="shared" si="153"/>
        <v>#N/A</v>
      </c>
      <c r="J379" s="46"/>
      <c r="K379" s="46"/>
      <c r="L379" s="46"/>
      <c r="M379" s="394" t="e">
        <f t="shared" si="154"/>
        <v>#N/A</v>
      </c>
    </row>
    <row r="380" spans="1:15" ht="13.5" thickBot="1" x14ac:dyDescent="0.25">
      <c r="A380" s="18" t="str">
        <f>A379</f>
        <v>Hide</v>
      </c>
      <c r="B380" s="45"/>
      <c r="E380" s="45"/>
      <c r="F380" s="47"/>
      <c r="G380" s="47"/>
      <c r="H380" s="47"/>
      <c r="I380" s="237" t="e">
        <f t="shared" si="153"/>
        <v>#N/A</v>
      </c>
      <c r="J380" s="47"/>
      <c r="K380" s="47"/>
      <c r="L380" s="47"/>
      <c r="M380" s="394" t="e">
        <f t="shared" si="154"/>
        <v>#N/A</v>
      </c>
    </row>
    <row r="381" spans="1:15" ht="13.5" thickTop="1" x14ac:dyDescent="0.2">
      <c r="A381" s="42" t="str">
        <f>'Ballot Entry'!A372</f>
        <v>Hide</v>
      </c>
      <c r="B381" s="43">
        <f>'Ballot Entry'!B372</f>
        <v>0</v>
      </c>
      <c r="C381" s="43" t="s">
        <v>285</v>
      </c>
      <c r="D381" s="48"/>
      <c r="E381" s="45"/>
      <c r="F381" s="48"/>
      <c r="G381" s="48"/>
      <c r="H381" s="48"/>
      <c r="I381" s="237" t="e">
        <f t="shared" si="153"/>
        <v>#N/A</v>
      </c>
      <c r="J381" s="48"/>
      <c r="K381" s="48"/>
      <c r="L381" s="48"/>
      <c r="M381" s="394" t="e">
        <f t="shared" si="154"/>
        <v>#N/A</v>
      </c>
      <c r="N381" s="35" t="e">
        <f>LARGE(I381:I383,3)&amp;","&amp;LARGE(I381:I383,2)&amp;","&amp;LARGE(I381:I383,1)</f>
        <v>#N/A</v>
      </c>
      <c r="O381" s="35" t="e">
        <f>LARGE(M381:M383,3)&amp;","&amp;LARGE(M381:M383,2)&amp;","&amp;LARGE(M381:M383,1)</f>
        <v>#N/A</v>
      </c>
    </row>
    <row r="382" spans="1:15" x14ac:dyDescent="0.2">
      <c r="A382" s="18" t="str">
        <f>A381</f>
        <v>Hide</v>
      </c>
      <c r="B382" s="45"/>
      <c r="C382" s="45"/>
      <c r="D382" s="45"/>
      <c r="E382" s="45"/>
      <c r="F382" s="49"/>
      <c r="G382" s="49"/>
      <c r="H382" s="49"/>
      <c r="I382" s="237" t="e">
        <f t="shared" si="153"/>
        <v>#N/A</v>
      </c>
      <c r="J382" s="49"/>
      <c r="K382" s="49"/>
      <c r="L382" s="49"/>
      <c r="M382" s="394" t="e">
        <f t="shared" si="154"/>
        <v>#N/A</v>
      </c>
    </row>
    <row r="383" spans="1:15" ht="13.5" thickBot="1" x14ac:dyDescent="0.25">
      <c r="A383" s="18" t="str">
        <f>A382</f>
        <v>Hide</v>
      </c>
      <c r="B383" s="45"/>
      <c r="E383" s="51"/>
      <c r="F383" s="50"/>
      <c r="G383" s="50"/>
      <c r="H383" s="50"/>
      <c r="I383" s="237" t="e">
        <f t="shared" si="153"/>
        <v>#N/A</v>
      </c>
      <c r="J383" s="50"/>
      <c r="K383" s="50"/>
      <c r="L383" s="50"/>
      <c r="M383" s="394" t="e">
        <f t="shared" si="154"/>
        <v>#N/A</v>
      </c>
    </row>
    <row r="384" spans="1:15" ht="13.5" thickTop="1" x14ac:dyDescent="0.2">
      <c r="A384" s="42" t="str">
        <f>'Ballot Entry'!A375</f>
        <v>Hide</v>
      </c>
      <c r="B384" s="43">
        <f>'Ballot Entry'!B375</f>
        <v>0</v>
      </c>
      <c r="C384" s="43" t="s">
        <v>285</v>
      </c>
      <c r="D384" s="44"/>
      <c r="E384" s="45"/>
      <c r="F384" s="44"/>
      <c r="G384" s="44"/>
      <c r="H384" s="44"/>
      <c r="I384" s="237" t="e">
        <f t="shared" si="153"/>
        <v>#N/A</v>
      </c>
      <c r="J384" s="44"/>
      <c r="K384" s="44"/>
      <c r="L384" s="44"/>
      <c r="M384" s="394" t="e">
        <f t="shared" si="154"/>
        <v>#N/A</v>
      </c>
      <c r="N384" s="35" t="e">
        <f>LARGE(I384:I386,3)&amp;","&amp;LARGE(I384:I386,2)&amp;","&amp;LARGE(I384:I386,1)</f>
        <v>#N/A</v>
      </c>
      <c r="O384" s="35" t="e">
        <f>LARGE(M384:M386,3)&amp;","&amp;LARGE(M384:M386,2)&amp;","&amp;LARGE(M384:M386,1)</f>
        <v>#N/A</v>
      </c>
    </row>
    <row r="385" spans="1:15" x14ac:dyDescent="0.2">
      <c r="A385" s="18" t="str">
        <f>A384</f>
        <v>Hide</v>
      </c>
      <c r="B385" s="45"/>
      <c r="C385" s="45"/>
      <c r="D385" s="45"/>
      <c r="E385" s="45"/>
      <c r="F385" s="46"/>
      <c r="G385" s="46"/>
      <c r="H385" s="46"/>
      <c r="I385" s="237" t="e">
        <f t="shared" si="153"/>
        <v>#N/A</v>
      </c>
      <c r="J385" s="46"/>
      <c r="K385" s="46"/>
      <c r="L385" s="46"/>
      <c r="M385" s="394" t="e">
        <f t="shared" si="154"/>
        <v>#N/A</v>
      </c>
    </row>
    <row r="386" spans="1:15" ht="13.5" thickBot="1" x14ac:dyDescent="0.25">
      <c r="A386" s="18" t="str">
        <f>A385</f>
        <v>Hide</v>
      </c>
      <c r="B386" s="45"/>
      <c r="E386" s="45"/>
      <c r="F386" s="47"/>
      <c r="G386" s="47"/>
      <c r="H386" s="47"/>
      <c r="I386" s="237" t="e">
        <f t="shared" si="153"/>
        <v>#N/A</v>
      </c>
      <c r="J386" s="47"/>
      <c r="K386" s="47"/>
      <c r="L386" s="47"/>
      <c r="M386" s="394" t="e">
        <f t="shared" si="154"/>
        <v>#N/A</v>
      </c>
    </row>
    <row r="387" spans="1:15" ht="13.5" thickTop="1" x14ac:dyDescent="0.2">
      <c r="A387" s="42" t="str">
        <f>'Ballot Entry'!A378</f>
        <v>Hide</v>
      </c>
      <c r="B387" s="43">
        <f>'Ballot Entry'!B378</f>
        <v>0</v>
      </c>
      <c r="C387" s="43" t="s">
        <v>285</v>
      </c>
      <c r="D387" s="48"/>
      <c r="E387" s="45"/>
      <c r="F387" s="48"/>
      <c r="G387" s="48"/>
      <c r="H387" s="48"/>
      <c r="I387" s="237" t="e">
        <f t="shared" si="153"/>
        <v>#N/A</v>
      </c>
      <c r="J387" s="48"/>
      <c r="K387" s="48"/>
      <c r="L387" s="48"/>
      <c r="M387" s="394" t="e">
        <f t="shared" si="154"/>
        <v>#N/A</v>
      </c>
      <c r="N387" s="35" t="e">
        <f>LARGE(I387:I389,3)&amp;","&amp;LARGE(I387:I389,2)&amp;","&amp;LARGE(I387:I389,1)</f>
        <v>#N/A</v>
      </c>
      <c r="O387" s="35" t="e">
        <f>LARGE(M387:M389,3)&amp;","&amp;LARGE(M387:M389,2)&amp;","&amp;LARGE(M387:M389,1)</f>
        <v>#N/A</v>
      </c>
    </row>
    <row r="388" spans="1:15" x14ac:dyDescent="0.2">
      <c r="A388" s="18" t="str">
        <f>A387</f>
        <v>Hide</v>
      </c>
      <c r="B388" s="45"/>
      <c r="C388" s="45"/>
      <c r="D388" s="45"/>
      <c r="E388" s="45"/>
      <c r="F388" s="49"/>
      <c r="G388" s="49"/>
      <c r="H388" s="49"/>
      <c r="I388" s="237" t="e">
        <f t="shared" si="153"/>
        <v>#N/A</v>
      </c>
      <c r="J388" s="49"/>
      <c r="K388" s="49"/>
      <c r="L388" s="49"/>
      <c r="M388" s="394" t="e">
        <f t="shared" si="154"/>
        <v>#N/A</v>
      </c>
    </row>
    <row r="389" spans="1:15" ht="13.5" thickBot="1" x14ac:dyDescent="0.25">
      <c r="A389" s="18" t="str">
        <f>A388</f>
        <v>Hide</v>
      </c>
      <c r="B389" s="45"/>
      <c r="E389" s="51"/>
      <c r="F389" s="50"/>
      <c r="G389" s="50"/>
      <c r="H389" s="50"/>
      <c r="I389" s="237" t="e">
        <f t="shared" si="153"/>
        <v>#N/A</v>
      </c>
      <c r="J389" s="50"/>
      <c r="K389" s="50"/>
      <c r="L389" s="50"/>
      <c r="M389" s="394" t="e">
        <f t="shared" si="154"/>
        <v>#N/A</v>
      </c>
    </row>
    <row r="390" spans="1:15" ht="13.5" thickTop="1" x14ac:dyDescent="0.2">
      <c r="A390" s="42" t="str">
        <f>'Ballot Entry'!A381</f>
        <v>Hide</v>
      </c>
      <c r="B390" s="43">
        <f>'Ballot Entry'!B381</f>
        <v>0</v>
      </c>
      <c r="C390" s="43" t="s">
        <v>285</v>
      </c>
      <c r="D390" s="44"/>
      <c r="E390" s="45"/>
      <c r="F390" s="44"/>
      <c r="G390" s="44"/>
      <c r="H390" s="44"/>
      <c r="I390" s="237" t="e">
        <f t="shared" ref="I390:I434" si="155">VLOOKUP(F390,Plookup,4,)</f>
        <v>#N/A</v>
      </c>
      <c r="J390" s="44"/>
      <c r="K390" s="44"/>
      <c r="L390" s="44"/>
      <c r="M390" s="394" t="e">
        <f t="shared" ref="M390:M434" si="156">VLOOKUP(J390,DLookup,4,)</f>
        <v>#N/A</v>
      </c>
      <c r="N390" s="35" t="e">
        <f t="shared" ref="N390" si="157">LARGE(I390:I392,3)&amp;","&amp;LARGE(I390:I392,2)&amp;","&amp;LARGE(I390:I392,1)</f>
        <v>#N/A</v>
      </c>
      <c r="O390" s="35" t="e">
        <f t="shared" ref="O390" si="158">LARGE(M390:M392,3)&amp;","&amp;LARGE(M390:M392,2)&amp;","&amp;LARGE(M390:M392,1)</f>
        <v>#N/A</v>
      </c>
    </row>
    <row r="391" spans="1:15" x14ac:dyDescent="0.2">
      <c r="A391" s="18" t="str">
        <f t="shared" ref="A391:A392" si="159">A390</f>
        <v>Hide</v>
      </c>
      <c r="B391" s="45"/>
      <c r="C391" s="45"/>
      <c r="D391" s="45"/>
      <c r="E391" s="45"/>
      <c r="F391" s="46"/>
      <c r="G391" s="46"/>
      <c r="H391" s="46"/>
      <c r="I391" s="237" t="e">
        <f t="shared" si="155"/>
        <v>#N/A</v>
      </c>
      <c r="J391" s="46"/>
      <c r="K391" s="46"/>
      <c r="L391" s="46"/>
      <c r="M391" s="394" t="e">
        <f t="shared" si="156"/>
        <v>#N/A</v>
      </c>
    </row>
    <row r="392" spans="1:15" ht="13.5" thickBot="1" x14ac:dyDescent="0.25">
      <c r="A392" s="18" t="str">
        <f t="shared" si="159"/>
        <v>Hide</v>
      </c>
      <c r="B392" s="45"/>
      <c r="E392" s="45"/>
      <c r="F392" s="47"/>
      <c r="G392" s="47"/>
      <c r="H392" s="47"/>
      <c r="I392" s="237" t="e">
        <f t="shared" si="155"/>
        <v>#N/A</v>
      </c>
      <c r="J392" s="47"/>
      <c r="K392" s="47"/>
      <c r="L392" s="47"/>
      <c r="M392" s="394" t="e">
        <f t="shared" si="156"/>
        <v>#N/A</v>
      </c>
    </row>
    <row r="393" spans="1:15" ht="13.5" thickTop="1" x14ac:dyDescent="0.2">
      <c r="A393" s="42" t="str">
        <f>'Ballot Entry'!A384</f>
        <v>Hide</v>
      </c>
      <c r="B393" s="43">
        <f>'Ballot Entry'!B384</f>
        <v>0</v>
      </c>
      <c r="C393" s="43" t="s">
        <v>285</v>
      </c>
      <c r="D393" s="48"/>
      <c r="E393" s="45"/>
      <c r="F393" s="48"/>
      <c r="G393" s="48"/>
      <c r="H393" s="48"/>
      <c r="I393" s="237" t="e">
        <f t="shared" si="155"/>
        <v>#N/A</v>
      </c>
      <c r="J393" s="48"/>
      <c r="K393" s="48"/>
      <c r="L393" s="48"/>
      <c r="M393" s="394" t="e">
        <f t="shared" si="156"/>
        <v>#N/A</v>
      </c>
      <c r="N393" s="35" t="e">
        <f t="shared" ref="N393" si="160">LARGE(I393:I395,3)&amp;","&amp;LARGE(I393:I395,2)&amp;","&amp;LARGE(I393:I395,1)</f>
        <v>#N/A</v>
      </c>
      <c r="O393" s="35" t="e">
        <f t="shared" ref="O393" si="161">LARGE(M393:M395,3)&amp;","&amp;LARGE(M393:M395,2)&amp;","&amp;LARGE(M393:M395,1)</f>
        <v>#N/A</v>
      </c>
    </row>
    <row r="394" spans="1:15" x14ac:dyDescent="0.2">
      <c r="A394" s="18" t="str">
        <f t="shared" ref="A394:A395" si="162">A393</f>
        <v>Hide</v>
      </c>
      <c r="B394" s="45"/>
      <c r="C394" s="45"/>
      <c r="D394" s="45"/>
      <c r="E394" s="45"/>
      <c r="F394" s="49"/>
      <c r="G394" s="49"/>
      <c r="H394" s="49"/>
      <c r="I394" s="237" t="e">
        <f t="shared" si="155"/>
        <v>#N/A</v>
      </c>
      <c r="J394" s="49"/>
      <c r="K394" s="49"/>
      <c r="L394" s="49"/>
      <c r="M394" s="394" t="e">
        <f t="shared" si="156"/>
        <v>#N/A</v>
      </c>
    </row>
    <row r="395" spans="1:15" ht="13.5" thickBot="1" x14ac:dyDescent="0.25">
      <c r="A395" s="18" t="str">
        <f t="shared" si="162"/>
        <v>Hide</v>
      </c>
      <c r="B395" s="45"/>
      <c r="E395" s="51"/>
      <c r="F395" s="50"/>
      <c r="G395" s="50"/>
      <c r="H395" s="50"/>
      <c r="I395" s="237" t="e">
        <f t="shared" si="155"/>
        <v>#N/A</v>
      </c>
      <c r="J395" s="50"/>
      <c r="K395" s="50"/>
      <c r="L395" s="50"/>
      <c r="M395" s="394" t="e">
        <f t="shared" si="156"/>
        <v>#N/A</v>
      </c>
    </row>
    <row r="396" spans="1:15" ht="13.5" thickTop="1" x14ac:dyDescent="0.2">
      <c r="A396" s="42" t="str">
        <f>'Ballot Entry'!A387</f>
        <v>Hide</v>
      </c>
      <c r="B396" s="43">
        <f>'Ballot Entry'!B387</f>
        <v>0</v>
      </c>
      <c r="C396" s="43" t="s">
        <v>285</v>
      </c>
      <c r="D396" s="44"/>
      <c r="E396" s="45"/>
      <c r="F396" s="44"/>
      <c r="G396" s="44"/>
      <c r="H396" s="44"/>
      <c r="I396" s="237" t="e">
        <f t="shared" si="155"/>
        <v>#N/A</v>
      </c>
      <c r="J396" s="44"/>
      <c r="K396" s="44"/>
      <c r="L396" s="44"/>
      <c r="M396" s="394" t="e">
        <f t="shared" si="156"/>
        <v>#N/A</v>
      </c>
      <c r="N396" s="35" t="e">
        <f t="shared" ref="N396" si="163">LARGE(I396:I398,3)&amp;","&amp;LARGE(I396:I398,2)&amp;","&amp;LARGE(I396:I398,1)</f>
        <v>#N/A</v>
      </c>
      <c r="O396" s="35" t="e">
        <f t="shared" ref="O396" si="164">LARGE(M396:M398,3)&amp;","&amp;LARGE(M396:M398,2)&amp;","&amp;LARGE(M396:M398,1)</f>
        <v>#N/A</v>
      </c>
    </row>
    <row r="397" spans="1:15" x14ac:dyDescent="0.2">
      <c r="A397" s="18" t="str">
        <f t="shared" ref="A397:A398" si="165">A396</f>
        <v>Hide</v>
      </c>
      <c r="B397" s="45"/>
      <c r="C397" s="45"/>
      <c r="D397" s="45"/>
      <c r="E397" s="45"/>
      <c r="F397" s="46"/>
      <c r="G397" s="46"/>
      <c r="H397" s="46"/>
      <c r="I397" s="237" t="e">
        <f t="shared" si="155"/>
        <v>#N/A</v>
      </c>
      <c r="J397" s="46"/>
      <c r="K397" s="46"/>
      <c r="L397" s="46"/>
      <c r="M397" s="394" t="e">
        <f t="shared" si="156"/>
        <v>#N/A</v>
      </c>
    </row>
    <row r="398" spans="1:15" ht="13.5" thickBot="1" x14ac:dyDescent="0.25">
      <c r="A398" s="18" t="str">
        <f t="shared" si="165"/>
        <v>Hide</v>
      </c>
      <c r="B398" s="45"/>
      <c r="E398" s="45"/>
      <c r="F398" s="47"/>
      <c r="G398" s="47"/>
      <c r="H398" s="47"/>
      <c r="I398" s="237" t="e">
        <f t="shared" si="155"/>
        <v>#N/A</v>
      </c>
      <c r="J398" s="47"/>
      <c r="K398" s="47"/>
      <c r="L398" s="47"/>
      <c r="M398" s="394" t="e">
        <f t="shared" si="156"/>
        <v>#N/A</v>
      </c>
    </row>
    <row r="399" spans="1:15" ht="13.5" thickTop="1" x14ac:dyDescent="0.2">
      <c r="A399" s="42" t="str">
        <f>'Ballot Entry'!A390</f>
        <v>Hide</v>
      </c>
      <c r="B399" s="43">
        <f>'Ballot Entry'!B390</f>
        <v>0</v>
      </c>
      <c r="C399" s="43" t="s">
        <v>285</v>
      </c>
      <c r="D399" s="48"/>
      <c r="E399" s="45"/>
      <c r="F399" s="48"/>
      <c r="G399" s="48"/>
      <c r="H399" s="48"/>
      <c r="I399" s="237" t="e">
        <f t="shared" si="155"/>
        <v>#N/A</v>
      </c>
      <c r="J399" s="48"/>
      <c r="K399" s="48"/>
      <c r="L399" s="48"/>
      <c r="M399" s="394" t="e">
        <f t="shared" si="156"/>
        <v>#N/A</v>
      </c>
      <c r="N399" s="35" t="e">
        <f t="shared" ref="N399" si="166">LARGE(I399:I401,3)&amp;","&amp;LARGE(I399:I401,2)&amp;","&amp;LARGE(I399:I401,1)</f>
        <v>#N/A</v>
      </c>
      <c r="O399" s="35" t="e">
        <f t="shared" ref="O399" si="167">LARGE(M399:M401,3)&amp;","&amp;LARGE(M399:M401,2)&amp;","&amp;LARGE(M399:M401,1)</f>
        <v>#N/A</v>
      </c>
    </row>
    <row r="400" spans="1:15" x14ac:dyDescent="0.2">
      <c r="A400" s="18" t="str">
        <f t="shared" ref="A400:A401" si="168">A399</f>
        <v>Hide</v>
      </c>
      <c r="B400" s="45"/>
      <c r="C400" s="45"/>
      <c r="D400" s="45"/>
      <c r="E400" s="45"/>
      <c r="F400" s="49"/>
      <c r="G400" s="49"/>
      <c r="H400" s="49"/>
      <c r="I400" s="237" t="e">
        <f t="shared" si="155"/>
        <v>#N/A</v>
      </c>
      <c r="J400" s="49"/>
      <c r="K400" s="49"/>
      <c r="L400" s="49"/>
      <c r="M400" s="394" t="e">
        <f t="shared" si="156"/>
        <v>#N/A</v>
      </c>
    </row>
    <row r="401" spans="1:15" ht="13.5" thickBot="1" x14ac:dyDescent="0.25">
      <c r="A401" s="18" t="str">
        <f t="shared" si="168"/>
        <v>Hide</v>
      </c>
      <c r="B401" s="45"/>
      <c r="E401" s="51"/>
      <c r="F401" s="50"/>
      <c r="G401" s="50"/>
      <c r="H401" s="50"/>
      <c r="I401" s="237" t="e">
        <f t="shared" si="155"/>
        <v>#N/A</v>
      </c>
      <c r="J401" s="50"/>
      <c r="K401" s="50"/>
      <c r="L401" s="50"/>
      <c r="M401" s="394" t="e">
        <f t="shared" si="156"/>
        <v>#N/A</v>
      </c>
    </row>
    <row r="402" spans="1:15" ht="13.5" thickTop="1" x14ac:dyDescent="0.2">
      <c r="A402" s="42" t="str">
        <f>'Ballot Entry'!A393</f>
        <v>Hide</v>
      </c>
      <c r="B402" s="43">
        <f>'Ballot Entry'!B393</f>
        <v>0</v>
      </c>
      <c r="C402" s="43" t="s">
        <v>285</v>
      </c>
      <c r="D402" s="44"/>
      <c r="E402" s="45"/>
      <c r="F402" s="44"/>
      <c r="G402" s="44"/>
      <c r="H402" s="44"/>
      <c r="I402" s="237" t="e">
        <f t="shared" si="155"/>
        <v>#N/A</v>
      </c>
      <c r="J402" s="44"/>
      <c r="K402" s="44"/>
      <c r="L402" s="44"/>
      <c r="M402" s="394" t="e">
        <f t="shared" si="156"/>
        <v>#N/A</v>
      </c>
      <c r="N402" s="35" t="e">
        <f t="shared" ref="N402" si="169">LARGE(I402:I404,3)&amp;","&amp;LARGE(I402:I404,2)&amp;","&amp;LARGE(I402:I404,1)</f>
        <v>#N/A</v>
      </c>
      <c r="O402" s="35" t="e">
        <f t="shared" ref="O402" si="170">LARGE(M402:M404,3)&amp;","&amp;LARGE(M402:M404,2)&amp;","&amp;LARGE(M402:M404,1)</f>
        <v>#N/A</v>
      </c>
    </row>
    <row r="403" spans="1:15" x14ac:dyDescent="0.2">
      <c r="A403" s="18" t="str">
        <f t="shared" ref="A403:A404" si="171">A402</f>
        <v>Hide</v>
      </c>
      <c r="B403" s="45"/>
      <c r="C403" s="45"/>
      <c r="D403" s="45"/>
      <c r="E403" s="45"/>
      <c r="F403" s="46"/>
      <c r="G403" s="46"/>
      <c r="H403" s="46"/>
      <c r="I403" s="237" t="e">
        <f t="shared" si="155"/>
        <v>#N/A</v>
      </c>
      <c r="J403" s="46"/>
      <c r="K403" s="46"/>
      <c r="L403" s="46"/>
      <c r="M403" s="394" t="e">
        <f t="shared" si="156"/>
        <v>#N/A</v>
      </c>
    </row>
    <row r="404" spans="1:15" ht="13.5" thickBot="1" x14ac:dyDescent="0.25">
      <c r="A404" s="18" t="str">
        <f t="shared" si="171"/>
        <v>Hide</v>
      </c>
      <c r="B404" s="45"/>
      <c r="E404" s="45"/>
      <c r="F404" s="47"/>
      <c r="G404" s="47"/>
      <c r="H404" s="47"/>
      <c r="I404" s="237" t="e">
        <f t="shared" si="155"/>
        <v>#N/A</v>
      </c>
      <c r="J404" s="47"/>
      <c r="K404" s="47"/>
      <c r="L404" s="47"/>
      <c r="M404" s="394" t="e">
        <f t="shared" si="156"/>
        <v>#N/A</v>
      </c>
    </row>
    <row r="405" spans="1:15" ht="13.5" thickTop="1" x14ac:dyDescent="0.2">
      <c r="A405" s="42" t="str">
        <f>'Ballot Entry'!A396</f>
        <v>Hide</v>
      </c>
      <c r="B405" s="43">
        <f>'Ballot Entry'!B396</f>
        <v>0</v>
      </c>
      <c r="C405" s="43" t="s">
        <v>285</v>
      </c>
      <c r="D405" s="48"/>
      <c r="E405" s="45"/>
      <c r="F405" s="48"/>
      <c r="G405" s="48"/>
      <c r="H405" s="48"/>
      <c r="I405" s="237" t="e">
        <f t="shared" si="155"/>
        <v>#N/A</v>
      </c>
      <c r="J405" s="48"/>
      <c r="K405" s="48"/>
      <c r="L405" s="48"/>
      <c r="M405" s="394" t="e">
        <f t="shared" si="156"/>
        <v>#N/A</v>
      </c>
      <c r="N405" s="35" t="e">
        <f t="shared" ref="N405" si="172">LARGE(I405:I407,3)&amp;","&amp;LARGE(I405:I407,2)&amp;","&amp;LARGE(I405:I407,1)</f>
        <v>#N/A</v>
      </c>
      <c r="O405" s="35" t="e">
        <f t="shared" ref="O405" si="173">LARGE(M405:M407,3)&amp;","&amp;LARGE(M405:M407,2)&amp;","&amp;LARGE(M405:M407,1)</f>
        <v>#N/A</v>
      </c>
    </row>
    <row r="406" spans="1:15" x14ac:dyDescent="0.2">
      <c r="A406" s="18" t="str">
        <f t="shared" ref="A406:A407" si="174">A405</f>
        <v>Hide</v>
      </c>
      <c r="B406" s="45"/>
      <c r="C406" s="45"/>
      <c r="D406" s="45"/>
      <c r="E406" s="45"/>
      <c r="F406" s="49"/>
      <c r="G406" s="49"/>
      <c r="H406" s="49"/>
      <c r="I406" s="237" t="e">
        <f t="shared" si="155"/>
        <v>#N/A</v>
      </c>
      <c r="J406" s="49"/>
      <c r="K406" s="49"/>
      <c r="L406" s="49"/>
      <c r="M406" s="394" t="e">
        <f t="shared" si="156"/>
        <v>#N/A</v>
      </c>
    </row>
    <row r="407" spans="1:15" ht="13.5" thickBot="1" x14ac:dyDescent="0.25">
      <c r="A407" s="18" t="str">
        <f t="shared" si="174"/>
        <v>Hide</v>
      </c>
      <c r="B407" s="45"/>
      <c r="E407" s="51"/>
      <c r="F407" s="50"/>
      <c r="G407" s="50"/>
      <c r="H407" s="50"/>
      <c r="I407" s="237" t="e">
        <f t="shared" si="155"/>
        <v>#N/A</v>
      </c>
      <c r="J407" s="50"/>
      <c r="K407" s="50"/>
      <c r="L407" s="50"/>
      <c r="M407" s="394" t="e">
        <f t="shared" si="156"/>
        <v>#N/A</v>
      </c>
    </row>
    <row r="408" spans="1:15" ht="13.5" thickTop="1" x14ac:dyDescent="0.2">
      <c r="A408" s="42" t="str">
        <f>'Ballot Entry'!A399</f>
        <v>Hide</v>
      </c>
      <c r="B408" s="43">
        <f>'Ballot Entry'!B399</f>
        <v>0</v>
      </c>
      <c r="C408" s="43" t="s">
        <v>285</v>
      </c>
      <c r="D408" s="44"/>
      <c r="E408" s="45"/>
      <c r="F408" s="44"/>
      <c r="G408" s="44"/>
      <c r="H408" s="44"/>
      <c r="I408" s="237" t="e">
        <f t="shared" si="155"/>
        <v>#N/A</v>
      </c>
      <c r="J408" s="44"/>
      <c r="K408" s="44"/>
      <c r="L408" s="44"/>
      <c r="M408" s="394" t="e">
        <f t="shared" si="156"/>
        <v>#N/A</v>
      </c>
      <c r="N408" s="35" t="e">
        <f t="shared" ref="N408" si="175">LARGE(I408:I410,3)&amp;","&amp;LARGE(I408:I410,2)&amp;","&amp;LARGE(I408:I410,1)</f>
        <v>#N/A</v>
      </c>
      <c r="O408" s="35" t="e">
        <f t="shared" ref="O408" si="176">LARGE(M408:M410,3)&amp;","&amp;LARGE(M408:M410,2)&amp;","&amp;LARGE(M408:M410,1)</f>
        <v>#N/A</v>
      </c>
    </row>
    <row r="409" spans="1:15" x14ac:dyDescent="0.2">
      <c r="A409" s="18" t="str">
        <f t="shared" ref="A409:A410" si="177">A408</f>
        <v>Hide</v>
      </c>
      <c r="B409" s="45"/>
      <c r="C409" s="45"/>
      <c r="D409" s="45"/>
      <c r="E409" s="45"/>
      <c r="F409" s="46"/>
      <c r="G409" s="46"/>
      <c r="H409" s="46"/>
      <c r="I409" s="237" t="e">
        <f t="shared" si="155"/>
        <v>#N/A</v>
      </c>
      <c r="J409" s="46"/>
      <c r="K409" s="46"/>
      <c r="L409" s="46"/>
      <c r="M409" s="394" t="e">
        <f t="shared" si="156"/>
        <v>#N/A</v>
      </c>
    </row>
    <row r="410" spans="1:15" ht="13.5" thickBot="1" x14ac:dyDescent="0.25">
      <c r="A410" s="18" t="str">
        <f t="shared" si="177"/>
        <v>Hide</v>
      </c>
      <c r="B410" s="45"/>
      <c r="E410" s="45"/>
      <c r="F410" s="47"/>
      <c r="G410" s="47"/>
      <c r="H410" s="47"/>
      <c r="I410" s="237" t="e">
        <f t="shared" si="155"/>
        <v>#N/A</v>
      </c>
      <c r="J410" s="47"/>
      <c r="K410" s="47"/>
      <c r="L410" s="47"/>
      <c r="M410" s="394" t="e">
        <f t="shared" si="156"/>
        <v>#N/A</v>
      </c>
    </row>
    <row r="411" spans="1:15" ht="13.5" thickTop="1" x14ac:dyDescent="0.2">
      <c r="A411" s="42" t="str">
        <f>'Ballot Entry'!A402</f>
        <v>Hide</v>
      </c>
      <c r="B411" s="43">
        <f>'Ballot Entry'!B402</f>
        <v>0</v>
      </c>
      <c r="C411" s="43" t="s">
        <v>285</v>
      </c>
      <c r="D411" s="48"/>
      <c r="E411" s="45"/>
      <c r="F411" s="48"/>
      <c r="G411" s="48"/>
      <c r="H411" s="48"/>
      <c r="I411" s="237" t="e">
        <f t="shared" si="155"/>
        <v>#N/A</v>
      </c>
      <c r="J411" s="48"/>
      <c r="K411" s="48"/>
      <c r="L411" s="48"/>
      <c r="M411" s="394" t="e">
        <f t="shared" si="156"/>
        <v>#N/A</v>
      </c>
      <c r="N411" s="35" t="e">
        <f t="shared" ref="N411" si="178">LARGE(I411:I413,3)&amp;","&amp;LARGE(I411:I413,2)&amp;","&amp;LARGE(I411:I413,1)</f>
        <v>#N/A</v>
      </c>
      <c r="O411" s="35" t="e">
        <f t="shared" ref="O411" si="179">LARGE(M411:M413,3)&amp;","&amp;LARGE(M411:M413,2)&amp;","&amp;LARGE(M411:M413,1)</f>
        <v>#N/A</v>
      </c>
    </row>
    <row r="412" spans="1:15" x14ac:dyDescent="0.2">
      <c r="A412" s="18" t="str">
        <f t="shared" ref="A412:A413" si="180">A411</f>
        <v>Hide</v>
      </c>
      <c r="B412" s="45"/>
      <c r="C412" s="45"/>
      <c r="D412" s="45"/>
      <c r="E412" s="45"/>
      <c r="F412" s="49"/>
      <c r="G412" s="49"/>
      <c r="H412" s="49"/>
      <c r="I412" s="237" t="e">
        <f t="shared" si="155"/>
        <v>#N/A</v>
      </c>
      <c r="J412" s="49"/>
      <c r="K412" s="49"/>
      <c r="L412" s="49"/>
      <c r="M412" s="394" t="e">
        <f t="shared" si="156"/>
        <v>#N/A</v>
      </c>
    </row>
    <row r="413" spans="1:15" ht="13.5" thickBot="1" x14ac:dyDescent="0.25">
      <c r="A413" s="18" t="str">
        <f t="shared" si="180"/>
        <v>Hide</v>
      </c>
      <c r="B413" s="45"/>
      <c r="E413" s="51"/>
      <c r="F413" s="50"/>
      <c r="G413" s="50"/>
      <c r="H413" s="50"/>
      <c r="I413" s="237" t="e">
        <f t="shared" si="155"/>
        <v>#N/A</v>
      </c>
      <c r="J413" s="50"/>
      <c r="K413" s="50"/>
      <c r="L413" s="50"/>
      <c r="M413" s="394" t="e">
        <f t="shared" si="156"/>
        <v>#N/A</v>
      </c>
    </row>
    <row r="414" spans="1:15" ht="13.5" thickTop="1" x14ac:dyDescent="0.2">
      <c r="A414" s="42" t="str">
        <f>'Ballot Entry'!A405</f>
        <v>Hide</v>
      </c>
      <c r="B414" s="43">
        <f>'Ballot Entry'!B405</f>
        <v>0</v>
      </c>
      <c r="C414" s="43" t="s">
        <v>285</v>
      </c>
      <c r="D414" s="44"/>
      <c r="E414" s="45"/>
      <c r="F414" s="44"/>
      <c r="G414" s="44"/>
      <c r="H414" s="44"/>
      <c r="I414" s="237" t="e">
        <f t="shared" si="155"/>
        <v>#N/A</v>
      </c>
      <c r="J414" s="44"/>
      <c r="K414" s="44"/>
      <c r="L414" s="44"/>
      <c r="M414" s="394" t="e">
        <f t="shared" si="156"/>
        <v>#N/A</v>
      </c>
      <c r="N414" s="35" t="e">
        <f t="shared" ref="N414" si="181">LARGE(I414:I416,3)&amp;","&amp;LARGE(I414:I416,2)&amp;","&amp;LARGE(I414:I416,1)</f>
        <v>#N/A</v>
      </c>
      <c r="O414" s="35" t="e">
        <f t="shared" ref="O414" si="182">LARGE(M414:M416,3)&amp;","&amp;LARGE(M414:M416,2)&amp;","&amp;LARGE(M414:M416,1)</f>
        <v>#N/A</v>
      </c>
    </row>
    <row r="415" spans="1:15" x14ac:dyDescent="0.2">
      <c r="A415" s="18" t="str">
        <f t="shared" ref="A415:A416" si="183">A414</f>
        <v>Hide</v>
      </c>
      <c r="B415" s="45"/>
      <c r="C415" s="45"/>
      <c r="D415" s="45"/>
      <c r="E415" s="45"/>
      <c r="F415" s="46"/>
      <c r="G415" s="46"/>
      <c r="H415" s="46"/>
      <c r="I415" s="237" t="e">
        <f t="shared" si="155"/>
        <v>#N/A</v>
      </c>
      <c r="J415" s="46"/>
      <c r="K415" s="46"/>
      <c r="L415" s="46"/>
      <c r="M415" s="394" t="e">
        <f t="shared" si="156"/>
        <v>#N/A</v>
      </c>
    </row>
    <row r="416" spans="1:15" ht="13.5" thickBot="1" x14ac:dyDescent="0.25">
      <c r="A416" s="18" t="str">
        <f t="shared" si="183"/>
        <v>Hide</v>
      </c>
      <c r="B416" s="45"/>
      <c r="E416" s="45"/>
      <c r="F416" s="47"/>
      <c r="G416" s="47"/>
      <c r="H416" s="47"/>
      <c r="I416" s="237" t="e">
        <f t="shared" si="155"/>
        <v>#N/A</v>
      </c>
      <c r="J416" s="47"/>
      <c r="K416" s="47"/>
      <c r="L416" s="47"/>
      <c r="M416" s="394" t="e">
        <f t="shared" si="156"/>
        <v>#N/A</v>
      </c>
    </row>
    <row r="417" spans="1:15" ht="13.5" thickTop="1" x14ac:dyDescent="0.2">
      <c r="A417" s="42" t="str">
        <f>'Ballot Entry'!A408</f>
        <v>Hide</v>
      </c>
      <c r="B417" s="43">
        <f>'Ballot Entry'!B408</f>
        <v>0</v>
      </c>
      <c r="C417" s="43" t="s">
        <v>285</v>
      </c>
      <c r="D417" s="48"/>
      <c r="E417" s="45"/>
      <c r="F417" s="48"/>
      <c r="G417" s="48"/>
      <c r="H417" s="48"/>
      <c r="I417" s="237" t="e">
        <f t="shared" si="155"/>
        <v>#N/A</v>
      </c>
      <c r="J417" s="48"/>
      <c r="K417" s="48"/>
      <c r="L417" s="48"/>
      <c r="M417" s="394" t="e">
        <f t="shared" si="156"/>
        <v>#N/A</v>
      </c>
      <c r="N417" s="35" t="e">
        <f t="shared" ref="N417" si="184">LARGE(I417:I419,3)&amp;","&amp;LARGE(I417:I419,2)&amp;","&amp;LARGE(I417:I419,1)</f>
        <v>#N/A</v>
      </c>
      <c r="O417" s="35" t="e">
        <f t="shared" ref="O417" si="185">LARGE(M417:M419,3)&amp;","&amp;LARGE(M417:M419,2)&amp;","&amp;LARGE(M417:M419,1)</f>
        <v>#N/A</v>
      </c>
    </row>
    <row r="418" spans="1:15" x14ac:dyDescent="0.2">
      <c r="A418" s="18" t="str">
        <f t="shared" ref="A418:A419" si="186">A417</f>
        <v>Hide</v>
      </c>
      <c r="B418" s="45"/>
      <c r="C418" s="45"/>
      <c r="D418" s="45"/>
      <c r="E418" s="45"/>
      <c r="F418" s="49"/>
      <c r="G418" s="49"/>
      <c r="H418" s="49"/>
      <c r="I418" s="237" t="e">
        <f t="shared" si="155"/>
        <v>#N/A</v>
      </c>
      <c r="J418" s="49"/>
      <c r="K418" s="49"/>
      <c r="L418" s="49"/>
      <c r="M418" s="394" t="e">
        <f t="shared" si="156"/>
        <v>#N/A</v>
      </c>
    </row>
    <row r="419" spans="1:15" ht="13.5" thickBot="1" x14ac:dyDescent="0.25">
      <c r="A419" s="18" t="str">
        <f t="shared" si="186"/>
        <v>Hide</v>
      </c>
      <c r="B419" s="45"/>
      <c r="E419" s="51"/>
      <c r="F419" s="50"/>
      <c r="G419" s="50"/>
      <c r="H419" s="50"/>
      <c r="I419" s="237" t="e">
        <f t="shared" si="155"/>
        <v>#N/A</v>
      </c>
      <c r="J419" s="50"/>
      <c r="K419" s="50"/>
      <c r="L419" s="50"/>
      <c r="M419" s="394" t="e">
        <f t="shared" si="156"/>
        <v>#N/A</v>
      </c>
    </row>
    <row r="420" spans="1:15" ht="13.5" thickTop="1" x14ac:dyDescent="0.2">
      <c r="A420" s="42" t="str">
        <f>'Ballot Entry'!A411</f>
        <v>Hide</v>
      </c>
      <c r="B420" s="43">
        <f>'Ballot Entry'!B411</f>
        <v>0</v>
      </c>
      <c r="C420" s="43" t="s">
        <v>285</v>
      </c>
      <c r="D420" s="44"/>
      <c r="E420" s="45"/>
      <c r="F420" s="44"/>
      <c r="G420" s="44"/>
      <c r="H420" s="44"/>
      <c r="I420" s="237" t="e">
        <f t="shared" si="155"/>
        <v>#N/A</v>
      </c>
      <c r="J420" s="44"/>
      <c r="K420" s="44"/>
      <c r="L420" s="44"/>
      <c r="M420" s="394" t="e">
        <f t="shared" si="156"/>
        <v>#N/A</v>
      </c>
      <c r="N420" s="35" t="e">
        <f t="shared" ref="N420" si="187">LARGE(I420:I422,3)&amp;","&amp;LARGE(I420:I422,2)&amp;","&amp;LARGE(I420:I422,1)</f>
        <v>#N/A</v>
      </c>
      <c r="O420" s="35" t="e">
        <f t="shared" ref="O420" si="188">LARGE(M420:M422,3)&amp;","&amp;LARGE(M420:M422,2)&amp;","&amp;LARGE(M420:M422,1)</f>
        <v>#N/A</v>
      </c>
    </row>
    <row r="421" spans="1:15" x14ac:dyDescent="0.2">
      <c r="A421" s="18" t="str">
        <f t="shared" ref="A421:A422" si="189">A420</f>
        <v>Hide</v>
      </c>
      <c r="B421" s="45"/>
      <c r="C421" s="45"/>
      <c r="D421" s="45"/>
      <c r="E421" s="45"/>
      <c r="F421" s="46"/>
      <c r="G421" s="46"/>
      <c r="H421" s="46"/>
      <c r="I421" s="237" t="e">
        <f t="shared" si="155"/>
        <v>#N/A</v>
      </c>
      <c r="J421" s="46"/>
      <c r="K421" s="46"/>
      <c r="L421" s="46"/>
      <c r="M421" s="394" t="e">
        <f t="shared" si="156"/>
        <v>#N/A</v>
      </c>
    </row>
    <row r="422" spans="1:15" ht="13.5" thickBot="1" x14ac:dyDescent="0.25">
      <c r="A422" s="18" t="str">
        <f t="shared" si="189"/>
        <v>Hide</v>
      </c>
      <c r="B422" s="45"/>
      <c r="E422" s="45"/>
      <c r="F422" s="47"/>
      <c r="G422" s="47"/>
      <c r="H422" s="47"/>
      <c r="I422" s="237" t="e">
        <f t="shared" si="155"/>
        <v>#N/A</v>
      </c>
      <c r="J422" s="47"/>
      <c r="K422" s="47"/>
      <c r="L422" s="47"/>
      <c r="M422" s="394" t="e">
        <f t="shared" si="156"/>
        <v>#N/A</v>
      </c>
    </row>
    <row r="423" spans="1:15" ht="13.5" thickTop="1" x14ac:dyDescent="0.2">
      <c r="A423" s="42" t="str">
        <f>'Ballot Entry'!A414</f>
        <v>Hide</v>
      </c>
      <c r="B423" s="43">
        <f>'Ballot Entry'!B414</f>
        <v>0</v>
      </c>
      <c r="C423" s="43" t="s">
        <v>285</v>
      </c>
      <c r="D423" s="48"/>
      <c r="E423" s="45"/>
      <c r="F423" s="48"/>
      <c r="G423" s="48"/>
      <c r="H423" s="48"/>
      <c r="I423" s="237" t="e">
        <f t="shared" si="155"/>
        <v>#N/A</v>
      </c>
      <c r="J423" s="48"/>
      <c r="K423" s="48"/>
      <c r="L423" s="48"/>
      <c r="M423" s="394" t="e">
        <f t="shared" si="156"/>
        <v>#N/A</v>
      </c>
      <c r="N423" s="35" t="e">
        <f t="shared" ref="N423" si="190">LARGE(I423:I425,3)&amp;","&amp;LARGE(I423:I425,2)&amp;","&amp;LARGE(I423:I425,1)</f>
        <v>#N/A</v>
      </c>
      <c r="O423" s="35" t="e">
        <f t="shared" ref="O423" si="191">LARGE(M423:M425,3)&amp;","&amp;LARGE(M423:M425,2)&amp;","&amp;LARGE(M423:M425,1)</f>
        <v>#N/A</v>
      </c>
    </row>
    <row r="424" spans="1:15" x14ac:dyDescent="0.2">
      <c r="A424" s="18" t="str">
        <f t="shared" ref="A424:A425" si="192">A423</f>
        <v>Hide</v>
      </c>
      <c r="B424" s="45"/>
      <c r="C424" s="45"/>
      <c r="D424" s="45"/>
      <c r="E424" s="45"/>
      <c r="F424" s="49"/>
      <c r="G424" s="49"/>
      <c r="H424" s="49"/>
      <c r="I424" s="237" t="e">
        <f t="shared" si="155"/>
        <v>#N/A</v>
      </c>
      <c r="J424" s="49"/>
      <c r="K424" s="49"/>
      <c r="L424" s="49"/>
      <c r="M424" s="394" t="e">
        <f t="shared" si="156"/>
        <v>#N/A</v>
      </c>
    </row>
    <row r="425" spans="1:15" ht="13.5" thickBot="1" x14ac:dyDescent="0.25">
      <c r="A425" s="18" t="str">
        <f t="shared" si="192"/>
        <v>Hide</v>
      </c>
      <c r="B425" s="45"/>
      <c r="E425" s="51"/>
      <c r="F425" s="50"/>
      <c r="G425" s="50"/>
      <c r="H425" s="50"/>
      <c r="I425" s="237" t="e">
        <f t="shared" si="155"/>
        <v>#N/A</v>
      </c>
      <c r="J425" s="50"/>
      <c r="K425" s="50"/>
      <c r="L425" s="50"/>
      <c r="M425" s="394" t="e">
        <f t="shared" si="156"/>
        <v>#N/A</v>
      </c>
    </row>
    <row r="426" spans="1:15" ht="13.5" thickTop="1" x14ac:dyDescent="0.2">
      <c r="A426" s="42" t="str">
        <f>'Ballot Entry'!A417</f>
        <v>Hide</v>
      </c>
      <c r="B426" s="43">
        <f>'Ballot Entry'!B417</f>
        <v>0</v>
      </c>
      <c r="C426" s="43" t="s">
        <v>285</v>
      </c>
      <c r="D426" s="44"/>
      <c r="E426" s="45"/>
      <c r="F426" s="44"/>
      <c r="G426" s="44"/>
      <c r="H426" s="44"/>
      <c r="I426" s="237" t="e">
        <f t="shared" si="155"/>
        <v>#N/A</v>
      </c>
      <c r="J426" s="44"/>
      <c r="K426" s="44"/>
      <c r="L426" s="44"/>
      <c r="M426" s="394" t="e">
        <f t="shared" si="156"/>
        <v>#N/A</v>
      </c>
      <c r="N426" s="35" t="e">
        <f t="shared" ref="N426" si="193">LARGE(I426:I428,3)&amp;","&amp;LARGE(I426:I428,2)&amp;","&amp;LARGE(I426:I428,1)</f>
        <v>#N/A</v>
      </c>
      <c r="O426" s="35" t="e">
        <f t="shared" ref="O426" si="194">LARGE(M426:M428,3)&amp;","&amp;LARGE(M426:M428,2)&amp;","&amp;LARGE(M426:M428,1)</f>
        <v>#N/A</v>
      </c>
    </row>
    <row r="427" spans="1:15" x14ac:dyDescent="0.2">
      <c r="A427" s="18" t="str">
        <f t="shared" ref="A427:A428" si="195">A426</f>
        <v>Hide</v>
      </c>
      <c r="B427" s="45"/>
      <c r="C427" s="45"/>
      <c r="D427" s="45"/>
      <c r="E427" s="45"/>
      <c r="F427" s="46"/>
      <c r="G427" s="46"/>
      <c r="H427" s="46"/>
      <c r="I427" s="237" t="e">
        <f t="shared" si="155"/>
        <v>#N/A</v>
      </c>
      <c r="J427" s="46"/>
      <c r="K427" s="46"/>
      <c r="L427" s="46"/>
      <c r="M427" s="394" t="e">
        <f t="shared" si="156"/>
        <v>#N/A</v>
      </c>
    </row>
    <row r="428" spans="1:15" ht="13.5" thickBot="1" x14ac:dyDescent="0.25">
      <c r="A428" s="18" t="str">
        <f t="shared" si="195"/>
        <v>Hide</v>
      </c>
      <c r="B428" s="45"/>
      <c r="E428" s="45"/>
      <c r="F428" s="47"/>
      <c r="G428" s="47"/>
      <c r="H428" s="47"/>
      <c r="I428" s="237" t="e">
        <f t="shared" si="155"/>
        <v>#N/A</v>
      </c>
      <c r="J428" s="47"/>
      <c r="K428" s="47"/>
      <c r="L428" s="47"/>
      <c r="M428" s="394" t="e">
        <f t="shared" si="156"/>
        <v>#N/A</v>
      </c>
    </row>
    <row r="429" spans="1:15" ht="13.5" thickTop="1" x14ac:dyDescent="0.2">
      <c r="A429" s="42" t="str">
        <f>'Ballot Entry'!A420</f>
        <v>Hide</v>
      </c>
      <c r="B429" s="43">
        <f>'Ballot Entry'!B420</f>
        <v>0</v>
      </c>
      <c r="C429" s="43" t="s">
        <v>285</v>
      </c>
      <c r="D429" s="48"/>
      <c r="E429" s="45"/>
      <c r="F429" s="48"/>
      <c r="G429" s="48"/>
      <c r="H429" s="48"/>
      <c r="I429" s="237" t="e">
        <f t="shared" si="155"/>
        <v>#N/A</v>
      </c>
      <c r="J429" s="48"/>
      <c r="K429" s="48"/>
      <c r="L429" s="48"/>
      <c r="M429" s="394" t="e">
        <f t="shared" si="156"/>
        <v>#N/A</v>
      </c>
      <c r="N429" s="35" t="e">
        <f t="shared" ref="N429" si="196">LARGE(I429:I431,3)&amp;","&amp;LARGE(I429:I431,2)&amp;","&amp;LARGE(I429:I431,1)</f>
        <v>#N/A</v>
      </c>
      <c r="O429" s="35" t="e">
        <f t="shared" ref="O429" si="197">LARGE(M429:M431,3)&amp;","&amp;LARGE(M429:M431,2)&amp;","&amp;LARGE(M429:M431,1)</f>
        <v>#N/A</v>
      </c>
    </row>
    <row r="430" spans="1:15" x14ac:dyDescent="0.2">
      <c r="A430" s="18" t="str">
        <f t="shared" ref="A430:A431" si="198">A429</f>
        <v>Hide</v>
      </c>
      <c r="B430" s="45"/>
      <c r="C430" s="45"/>
      <c r="D430" s="45"/>
      <c r="E430" s="45"/>
      <c r="F430" s="49"/>
      <c r="G430" s="49"/>
      <c r="H430" s="49"/>
      <c r="I430" s="237" t="e">
        <f t="shared" si="155"/>
        <v>#N/A</v>
      </c>
      <c r="J430" s="49"/>
      <c r="K430" s="49"/>
      <c r="L430" s="49"/>
      <c r="M430" s="394" t="e">
        <f t="shared" si="156"/>
        <v>#N/A</v>
      </c>
    </row>
    <row r="431" spans="1:15" ht="13.5" thickBot="1" x14ac:dyDescent="0.25">
      <c r="A431" s="18" t="str">
        <f t="shared" si="198"/>
        <v>Hide</v>
      </c>
      <c r="B431" s="45"/>
      <c r="E431" s="51"/>
      <c r="F431" s="50"/>
      <c r="G431" s="50"/>
      <c r="H431" s="50"/>
      <c r="I431" s="237" t="e">
        <f t="shared" si="155"/>
        <v>#N/A</v>
      </c>
      <c r="J431" s="50"/>
      <c r="K431" s="50"/>
      <c r="L431" s="50"/>
      <c r="M431" s="394" t="e">
        <f t="shared" si="156"/>
        <v>#N/A</v>
      </c>
    </row>
    <row r="432" spans="1:15" ht="13.5" thickTop="1" x14ac:dyDescent="0.2">
      <c r="A432" s="42" t="str">
        <f>'Ballot Entry'!A423</f>
        <v>Hide</v>
      </c>
      <c r="B432" s="43">
        <f>'Ballot Entry'!B423</f>
        <v>0</v>
      </c>
      <c r="C432" s="43" t="s">
        <v>285</v>
      </c>
      <c r="D432" s="44"/>
      <c r="E432" s="45"/>
      <c r="F432" s="44"/>
      <c r="G432" s="44"/>
      <c r="H432" s="44"/>
      <c r="I432" s="237" t="e">
        <f t="shared" si="155"/>
        <v>#N/A</v>
      </c>
      <c r="J432" s="44"/>
      <c r="K432" s="44"/>
      <c r="L432" s="44"/>
      <c r="M432" s="394" t="e">
        <f t="shared" si="156"/>
        <v>#N/A</v>
      </c>
      <c r="N432" s="35" t="e">
        <f t="shared" ref="N432" si="199">LARGE(I432:I434,3)&amp;","&amp;LARGE(I432:I434,2)&amp;","&amp;LARGE(I432:I434,1)</f>
        <v>#N/A</v>
      </c>
      <c r="O432" s="35" t="e">
        <f t="shared" ref="O432" si="200">LARGE(M432:M434,3)&amp;","&amp;LARGE(M432:M434,2)&amp;","&amp;LARGE(M432:M434,1)</f>
        <v>#N/A</v>
      </c>
    </row>
    <row r="433" spans="1:13" x14ac:dyDescent="0.2">
      <c r="A433" s="18" t="str">
        <f t="shared" ref="A433:A434" si="201">A432</f>
        <v>Hide</v>
      </c>
      <c r="B433" s="45"/>
      <c r="C433" s="45"/>
      <c r="D433" s="45"/>
      <c r="E433" s="45"/>
      <c r="F433" s="46"/>
      <c r="G433" s="46"/>
      <c r="H433" s="46"/>
      <c r="I433" s="237" t="e">
        <f t="shared" si="155"/>
        <v>#N/A</v>
      </c>
      <c r="J433" s="46"/>
      <c r="K433" s="46"/>
      <c r="L433" s="46"/>
      <c r="M433" s="394" t="e">
        <f t="shared" si="156"/>
        <v>#N/A</v>
      </c>
    </row>
    <row r="434" spans="1:13" ht="13.5" thickBot="1" x14ac:dyDescent="0.25">
      <c r="A434" s="18" t="str">
        <f t="shared" si="201"/>
        <v>Hide</v>
      </c>
      <c r="B434" s="45"/>
      <c r="E434" s="45"/>
      <c r="F434" s="47"/>
      <c r="G434" s="47"/>
      <c r="H434" s="47"/>
      <c r="I434" s="237" t="e">
        <f t="shared" si="155"/>
        <v>#N/A</v>
      </c>
      <c r="J434" s="47"/>
      <c r="K434" s="47"/>
      <c r="L434" s="47"/>
      <c r="M434" s="394" t="e">
        <f t="shared" si="156"/>
        <v>#N/A</v>
      </c>
    </row>
    <row r="435" spans="1:13" ht="13.5" thickTop="1" x14ac:dyDescent="0.2"/>
  </sheetData>
  <sheetProtection algorithmName="SHA-512" hashValue="OzUxusPI0Bt3+ZNqQ8emN5/a2jGmkL315BmKkh+Q07vCsvHCmu5cidE/mBCFQWx0wH9RDYxohp14SgIZfr0B8w==" saltValue="zokk+tf/7Ni1mepsOPnrOw==" spinCount="100000" sheet="1" selectLockedCells="1" autoFilter="0"/>
  <autoFilter ref="A2:A389" xr:uid="{00000000-0009-0000-0000-000006000000}"/>
  <sortState ref="J3:J9">
    <sortCondition ref="J3"/>
  </sortState>
  <dataConsolidate/>
  <phoneticPr fontId="49" type="noConversion"/>
  <conditionalFormatting sqref="E14">
    <cfRule type="duplicateValues" dxfId="815" priority="1863" stopIfTrue="1"/>
  </conditionalFormatting>
  <conditionalFormatting sqref="G14">
    <cfRule type="duplicateValues" dxfId="814" priority="1662" stopIfTrue="1"/>
  </conditionalFormatting>
  <conditionalFormatting sqref="E20">
    <cfRule type="duplicateValues" dxfId="813" priority="1660" stopIfTrue="1"/>
  </conditionalFormatting>
  <conditionalFormatting sqref="E26">
    <cfRule type="duplicateValues" dxfId="812" priority="1653" stopIfTrue="1"/>
  </conditionalFormatting>
  <conditionalFormatting sqref="E32">
    <cfRule type="duplicateValues" dxfId="811" priority="1646" stopIfTrue="1"/>
  </conditionalFormatting>
  <conditionalFormatting sqref="E38">
    <cfRule type="duplicateValues" dxfId="810" priority="1639" stopIfTrue="1"/>
  </conditionalFormatting>
  <conditionalFormatting sqref="E44">
    <cfRule type="duplicateValues" dxfId="809" priority="1632" stopIfTrue="1"/>
  </conditionalFormatting>
  <conditionalFormatting sqref="E50">
    <cfRule type="duplicateValues" dxfId="808" priority="1625" stopIfTrue="1"/>
  </conditionalFormatting>
  <conditionalFormatting sqref="E56">
    <cfRule type="duplicateValues" dxfId="807" priority="1618" stopIfTrue="1"/>
  </conditionalFormatting>
  <conditionalFormatting sqref="E62">
    <cfRule type="duplicateValues" dxfId="806" priority="1611" stopIfTrue="1"/>
  </conditionalFormatting>
  <conditionalFormatting sqref="E68 E74 E80 E86 E92 E98 E104 E110 E116">
    <cfRule type="duplicateValues" dxfId="805" priority="1604" stopIfTrue="1"/>
  </conditionalFormatting>
  <conditionalFormatting sqref="E120">
    <cfRule type="duplicateValues" dxfId="804" priority="1597" stopIfTrue="1"/>
  </conditionalFormatting>
  <conditionalFormatting sqref="E126">
    <cfRule type="duplicateValues" dxfId="803" priority="1590" stopIfTrue="1"/>
  </conditionalFormatting>
  <conditionalFormatting sqref="E132">
    <cfRule type="duplicateValues" dxfId="802" priority="1583" stopIfTrue="1"/>
  </conditionalFormatting>
  <conditionalFormatting sqref="E138">
    <cfRule type="duplicateValues" dxfId="801" priority="1576" stopIfTrue="1"/>
  </conditionalFormatting>
  <conditionalFormatting sqref="E144">
    <cfRule type="duplicateValues" dxfId="800" priority="1569" stopIfTrue="1"/>
  </conditionalFormatting>
  <conditionalFormatting sqref="E150">
    <cfRule type="duplicateValues" dxfId="799" priority="1562" stopIfTrue="1"/>
  </conditionalFormatting>
  <conditionalFormatting sqref="E156">
    <cfRule type="duplicateValues" dxfId="798" priority="1555" stopIfTrue="1"/>
  </conditionalFormatting>
  <conditionalFormatting sqref="E162">
    <cfRule type="duplicateValues" dxfId="797" priority="1548" stopIfTrue="1"/>
  </conditionalFormatting>
  <conditionalFormatting sqref="E168">
    <cfRule type="duplicateValues" dxfId="796" priority="1541" stopIfTrue="1"/>
  </conditionalFormatting>
  <conditionalFormatting sqref="E174 E180 E186 E192 E198 E204 E210 E216 E222">
    <cfRule type="duplicateValues" dxfId="795" priority="1534" stopIfTrue="1"/>
  </conditionalFormatting>
  <conditionalFormatting sqref="E226">
    <cfRule type="duplicateValues" dxfId="794" priority="1527" stopIfTrue="1"/>
  </conditionalFormatting>
  <conditionalFormatting sqref="E232">
    <cfRule type="duplicateValues" dxfId="793" priority="1520" stopIfTrue="1"/>
  </conditionalFormatting>
  <conditionalFormatting sqref="E238">
    <cfRule type="duplicateValues" dxfId="792" priority="1513" stopIfTrue="1"/>
  </conditionalFormatting>
  <conditionalFormatting sqref="E244">
    <cfRule type="duplicateValues" dxfId="791" priority="1506" stopIfTrue="1"/>
  </conditionalFormatting>
  <conditionalFormatting sqref="E250">
    <cfRule type="duplicateValues" dxfId="790" priority="1499" stopIfTrue="1"/>
  </conditionalFormatting>
  <conditionalFormatting sqref="E256">
    <cfRule type="duplicateValues" dxfId="789" priority="1492" stopIfTrue="1"/>
  </conditionalFormatting>
  <conditionalFormatting sqref="E262">
    <cfRule type="duplicateValues" dxfId="788" priority="1485" stopIfTrue="1"/>
  </conditionalFormatting>
  <conditionalFormatting sqref="E268">
    <cfRule type="duplicateValues" dxfId="787" priority="1478" stopIfTrue="1"/>
  </conditionalFormatting>
  <conditionalFormatting sqref="E274">
    <cfRule type="duplicateValues" dxfId="786" priority="1471" stopIfTrue="1"/>
  </conditionalFormatting>
  <conditionalFormatting sqref="E332">
    <cfRule type="duplicateValues" dxfId="785" priority="1457" stopIfTrue="1"/>
  </conditionalFormatting>
  <conditionalFormatting sqref="E338">
    <cfRule type="duplicateValues" dxfId="784" priority="1450" stopIfTrue="1"/>
  </conditionalFormatting>
  <conditionalFormatting sqref="E344">
    <cfRule type="duplicateValues" dxfId="783" priority="1443" stopIfTrue="1"/>
  </conditionalFormatting>
  <conditionalFormatting sqref="E350">
    <cfRule type="duplicateValues" dxfId="782" priority="1436" stopIfTrue="1"/>
  </conditionalFormatting>
  <conditionalFormatting sqref="E356">
    <cfRule type="duplicateValues" dxfId="781" priority="1429" stopIfTrue="1"/>
  </conditionalFormatting>
  <conditionalFormatting sqref="E362">
    <cfRule type="duplicateValues" dxfId="780" priority="1422" stopIfTrue="1"/>
  </conditionalFormatting>
  <conditionalFormatting sqref="E368">
    <cfRule type="duplicateValues" dxfId="779" priority="1415" stopIfTrue="1"/>
  </conditionalFormatting>
  <conditionalFormatting sqref="E374">
    <cfRule type="duplicateValues" dxfId="778" priority="1408" stopIfTrue="1"/>
  </conditionalFormatting>
  <conditionalFormatting sqref="E380">
    <cfRule type="duplicateValues" dxfId="777" priority="1401" stopIfTrue="1"/>
  </conditionalFormatting>
  <conditionalFormatting sqref="G14">
    <cfRule type="duplicateValues" dxfId="776" priority="1374" stopIfTrue="1"/>
  </conditionalFormatting>
  <conditionalFormatting sqref="H15:H17">
    <cfRule type="duplicateValues" dxfId="775" priority="1235" stopIfTrue="1"/>
  </conditionalFormatting>
  <conditionalFormatting sqref="H14">
    <cfRule type="duplicateValues" dxfId="774" priority="1234" stopIfTrue="1"/>
  </conditionalFormatting>
  <conditionalFormatting sqref="H15:H17">
    <cfRule type="duplicateValues" dxfId="773" priority="1215" stopIfTrue="1"/>
  </conditionalFormatting>
  <conditionalFormatting sqref="H14">
    <cfRule type="duplicateValues" dxfId="772" priority="1214" stopIfTrue="1"/>
  </conditionalFormatting>
  <conditionalFormatting sqref="L15:L17">
    <cfRule type="duplicateValues" dxfId="771" priority="979" stopIfTrue="1"/>
  </conditionalFormatting>
  <conditionalFormatting sqref="L14">
    <cfRule type="duplicateValues" dxfId="770" priority="978" stopIfTrue="1"/>
  </conditionalFormatting>
  <conditionalFormatting sqref="L15:L17">
    <cfRule type="duplicateValues" dxfId="769" priority="959" stopIfTrue="1"/>
  </conditionalFormatting>
  <conditionalFormatting sqref="L14">
    <cfRule type="duplicateValues" dxfId="768" priority="958" stopIfTrue="1"/>
  </conditionalFormatting>
  <conditionalFormatting sqref="F12:F14">
    <cfRule type="duplicateValues" dxfId="767" priority="850" stopIfTrue="1"/>
  </conditionalFormatting>
  <conditionalFormatting sqref="G17">
    <cfRule type="duplicateValues" dxfId="766" priority="849" stopIfTrue="1"/>
  </conditionalFormatting>
  <conditionalFormatting sqref="G17">
    <cfRule type="duplicateValues" dxfId="765" priority="848" stopIfTrue="1"/>
  </conditionalFormatting>
  <conditionalFormatting sqref="F15:F17">
    <cfRule type="duplicateValues" dxfId="764" priority="847" stopIfTrue="1"/>
  </conditionalFormatting>
  <conditionalFormatting sqref="K14">
    <cfRule type="duplicateValues" dxfId="763" priority="846" stopIfTrue="1"/>
  </conditionalFormatting>
  <conditionalFormatting sqref="K14">
    <cfRule type="duplicateValues" dxfId="762" priority="845" stopIfTrue="1"/>
  </conditionalFormatting>
  <conditionalFormatting sqref="J12:J14">
    <cfRule type="duplicateValues" dxfId="761" priority="844" stopIfTrue="1"/>
  </conditionalFormatting>
  <conditionalFormatting sqref="K17">
    <cfRule type="duplicateValues" dxfId="760" priority="843" stopIfTrue="1"/>
  </conditionalFormatting>
  <conditionalFormatting sqref="K17">
    <cfRule type="duplicateValues" dxfId="759" priority="842" stopIfTrue="1"/>
  </conditionalFormatting>
  <conditionalFormatting sqref="J15:J17">
    <cfRule type="duplicateValues" dxfId="758" priority="841" stopIfTrue="1"/>
  </conditionalFormatting>
  <conditionalFormatting sqref="G20">
    <cfRule type="duplicateValues" dxfId="757" priority="840" stopIfTrue="1"/>
  </conditionalFormatting>
  <conditionalFormatting sqref="G20">
    <cfRule type="duplicateValues" dxfId="756" priority="839" stopIfTrue="1"/>
  </conditionalFormatting>
  <conditionalFormatting sqref="H21:H23">
    <cfRule type="duplicateValues" dxfId="755" priority="838" stopIfTrue="1"/>
  </conditionalFormatting>
  <conditionalFormatting sqref="H20">
    <cfRule type="duplicateValues" dxfId="754" priority="837" stopIfTrue="1"/>
  </conditionalFormatting>
  <conditionalFormatting sqref="H21:H23">
    <cfRule type="duplicateValues" dxfId="753" priority="836" stopIfTrue="1"/>
  </conditionalFormatting>
  <conditionalFormatting sqref="H20">
    <cfRule type="duplicateValues" dxfId="752" priority="835" stopIfTrue="1"/>
  </conditionalFormatting>
  <conditionalFormatting sqref="L21:L23">
    <cfRule type="duplicateValues" dxfId="751" priority="834" stopIfTrue="1"/>
  </conditionalFormatting>
  <conditionalFormatting sqref="L20">
    <cfRule type="duplicateValues" dxfId="750" priority="833" stopIfTrue="1"/>
  </conditionalFormatting>
  <conditionalFormatting sqref="L21:L23">
    <cfRule type="duplicateValues" dxfId="749" priority="832" stopIfTrue="1"/>
  </conditionalFormatting>
  <conditionalFormatting sqref="L20">
    <cfRule type="duplicateValues" dxfId="748" priority="831" stopIfTrue="1"/>
  </conditionalFormatting>
  <conditionalFormatting sqref="F18:F20">
    <cfRule type="duplicateValues" dxfId="747" priority="830" stopIfTrue="1"/>
  </conditionalFormatting>
  <conditionalFormatting sqref="G23">
    <cfRule type="duplicateValues" dxfId="746" priority="829" stopIfTrue="1"/>
  </conditionalFormatting>
  <conditionalFormatting sqref="G23">
    <cfRule type="duplicateValues" dxfId="745" priority="828" stopIfTrue="1"/>
  </conditionalFormatting>
  <conditionalFormatting sqref="F21:F23">
    <cfRule type="duplicateValues" dxfId="744" priority="827" stopIfTrue="1"/>
  </conditionalFormatting>
  <conditionalFormatting sqref="K20">
    <cfRule type="duplicateValues" dxfId="743" priority="826" stopIfTrue="1"/>
  </conditionalFormatting>
  <conditionalFormatting sqref="K20">
    <cfRule type="duplicateValues" dxfId="742" priority="825" stopIfTrue="1"/>
  </conditionalFormatting>
  <conditionalFormatting sqref="J18:J20">
    <cfRule type="duplicateValues" dxfId="741" priority="824" stopIfTrue="1"/>
  </conditionalFormatting>
  <conditionalFormatting sqref="K23">
    <cfRule type="duplicateValues" dxfId="740" priority="823" stopIfTrue="1"/>
  </conditionalFormatting>
  <conditionalFormatting sqref="K23">
    <cfRule type="duplicateValues" dxfId="739" priority="822" stopIfTrue="1"/>
  </conditionalFormatting>
  <conditionalFormatting sqref="J21:J23">
    <cfRule type="duplicateValues" dxfId="738" priority="821" stopIfTrue="1"/>
  </conditionalFormatting>
  <conditionalFormatting sqref="G26">
    <cfRule type="duplicateValues" dxfId="737" priority="820" stopIfTrue="1"/>
  </conditionalFormatting>
  <conditionalFormatting sqref="G26">
    <cfRule type="duplicateValues" dxfId="736" priority="819" stopIfTrue="1"/>
  </conditionalFormatting>
  <conditionalFormatting sqref="H27:H29">
    <cfRule type="duplicateValues" dxfId="735" priority="818" stopIfTrue="1"/>
  </conditionalFormatting>
  <conditionalFormatting sqref="H26">
    <cfRule type="duplicateValues" dxfId="734" priority="817" stopIfTrue="1"/>
  </conditionalFormatting>
  <conditionalFormatting sqref="H27:H29">
    <cfRule type="duplicateValues" dxfId="733" priority="816" stopIfTrue="1"/>
  </conditionalFormatting>
  <conditionalFormatting sqref="H26">
    <cfRule type="duplicateValues" dxfId="732" priority="815" stopIfTrue="1"/>
  </conditionalFormatting>
  <conditionalFormatting sqref="L27:L29">
    <cfRule type="duplicateValues" dxfId="731" priority="814" stopIfTrue="1"/>
  </conditionalFormatting>
  <conditionalFormatting sqref="L26">
    <cfRule type="duplicateValues" dxfId="730" priority="813" stopIfTrue="1"/>
  </conditionalFormatting>
  <conditionalFormatting sqref="L27:L29">
    <cfRule type="duplicateValues" dxfId="729" priority="812" stopIfTrue="1"/>
  </conditionalFormatting>
  <conditionalFormatting sqref="L26">
    <cfRule type="duplicateValues" dxfId="728" priority="811" stopIfTrue="1"/>
  </conditionalFormatting>
  <conditionalFormatting sqref="F24:F26">
    <cfRule type="duplicateValues" dxfId="727" priority="810" stopIfTrue="1"/>
  </conditionalFormatting>
  <conditionalFormatting sqref="G29">
    <cfRule type="duplicateValues" dxfId="726" priority="809" stopIfTrue="1"/>
  </conditionalFormatting>
  <conditionalFormatting sqref="G29">
    <cfRule type="duplicateValues" dxfId="725" priority="808" stopIfTrue="1"/>
  </conditionalFormatting>
  <conditionalFormatting sqref="F27:F29">
    <cfRule type="duplicateValues" dxfId="724" priority="807" stopIfTrue="1"/>
  </conditionalFormatting>
  <conditionalFormatting sqref="K26">
    <cfRule type="duplicateValues" dxfId="723" priority="806" stopIfTrue="1"/>
  </conditionalFormatting>
  <conditionalFormatting sqref="K26">
    <cfRule type="duplicateValues" dxfId="722" priority="805" stopIfTrue="1"/>
  </conditionalFormatting>
  <conditionalFormatting sqref="J24:J26">
    <cfRule type="duplicateValues" dxfId="721" priority="804" stopIfTrue="1"/>
  </conditionalFormatting>
  <conditionalFormatting sqref="K29">
    <cfRule type="duplicateValues" dxfId="720" priority="803" stopIfTrue="1"/>
  </conditionalFormatting>
  <conditionalFormatting sqref="K29">
    <cfRule type="duplicateValues" dxfId="719" priority="802" stopIfTrue="1"/>
  </conditionalFormatting>
  <conditionalFormatting sqref="J27:J29">
    <cfRule type="duplicateValues" dxfId="718" priority="801" stopIfTrue="1"/>
  </conditionalFormatting>
  <conditionalFormatting sqref="G32">
    <cfRule type="duplicateValues" dxfId="717" priority="800" stopIfTrue="1"/>
  </conditionalFormatting>
  <conditionalFormatting sqref="G32">
    <cfRule type="duplicateValues" dxfId="716" priority="799" stopIfTrue="1"/>
  </conditionalFormatting>
  <conditionalFormatting sqref="H33:H35">
    <cfRule type="duplicateValues" dxfId="715" priority="798" stopIfTrue="1"/>
  </conditionalFormatting>
  <conditionalFormatting sqref="H32">
    <cfRule type="duplicateValues" dxfId="714" priority="797" stopIfTrue="1"/>
  </conditionalFormatting>
  <conditionalFormatting sqref="H33:H35">
    <cfRule type="duplicateValues" dxfId="713" priority="796" stopIfTrue="1"/>
  </conditionalFormatting>
  <conditionalFormatting sqref="H32">
    <cfRule type="duplicateValues" dxfId="712" priority="795" stopIfTrue="1"/>
  </conditionalFormatting>
  <conditionalFormatting sqref="L33:L35">
    <cfRule type="duplicateValues" dxfId="711" priority="794" stopIfTrue="1"/>
  </conditionalFormatting>
  <conditionalFormatting sqref="L32">
    <cfRule type="duplicateValues" dxfId="710" priority="793" stopIfTrue="1"/>
  </conditionalFormatting>
  <conditionalFormatting sqref="L33:L35">
    <cfRule type="duplicateValues" dxfId="709" priority="792" stopIfTrue="1"/>
  </conditionalFormatting>
  <conditionalFormatting sqref="L32">
    <cfRule type="duplicateValues" dxfId="708" priority="791" stopIfTrue="1"/>
  </conditionalFormatting>
  <conditionalFormatting sqref="F30:F32">
    <cfRule type="duplicateValues" dxfId="707" priority="790" stopIfTrue="1"/>
  </conditionalFormatting>
  <conditionalFormatting sqref="G35">
    <cfRule type="duplicateValues" dxfId="706" priority="789" stopIfTrue="1"/>
  </conditionalFormatting>
  <conditionalFormatting sqref="G35">
    <cfRule type="duplicateValues" dxfId="705" priority="788" stopIfTrue="1"/>
  </conditionalFormatting>
  <conditionalFormatting sqref="F33:F35">
    <cfRule type="duplicateValues" dxfId="704" priority="787" stopIfTrue="1"/>
  </conditionalFormatting>
  <conditionalFormatting sqref="K32">
    <cfRule type="duplicateValues" dxfId="703" priority="786" stopIfTrue="1"/>
  </conditionalFormatting>
  <conditionalFormatting sqref="K32">
    <cfRule type="duplicateValues" dxfId="702" priority="785" stopIfTrue="1"/>
  </conditionalFormatting>
  <conditionalFormatting sqref="J30:J32">
    <cfRule type="duplicateValues" dxfId="701" priority="784" stopIfTrue="1"/>
  </conditionalFormatting>
  <conditionalFormatting sqref="K35">
    <cfRule type="duplicateValues" dxfId="700" priority="783" stopIfTrue="1"/>
  </conditionalFormatting>
  <conditionalFormatting sqref="K35">
    <cfRule type="duplicateValues" dxfId="699" priority="782" stopIfTrue="1"/>
  </conditionalFormatting>
  <conditionalFormatting sqref="J33:J35">
    <cfRule type="duplicateValues" dxfId="698" priority="781" stopIfTrue="1"/>
  </conditionalFormatting>
  <conditionalFormatting sqref="G38">
    <cfRule type="duplicateValues" dxfId="697" priority="780" stopIfTrue="1"/>
  </conditionalFormatting>
  <conditionalFormatting sqref="G38">
    <cfRule type="duplicateValues" dxfId="696" priority="779" stopIfTrue="1"/>
  </conditionalFormatting>
  <conditionalFormatting sqref="H39:H41">
    <cfRule type="duplicateValues" dxfId="695" priority="778" stopIfTrue="1"/>
  </conditionalFormatting>
  <conditionalFormatting sqref="H38">
    <cfRule type="duplicateValues" dxfId="694" priority="777" stopIfTrue="1"/>
  </conditionalFormatting>
  <conditionalFormatting sqref="H39:H41">
    <cfRule type="duplicateValues" dxfId="693" priority="776" stopIfTrue="1"/>
  </conditionalFormatting>
  <conditionalFormatting sqref="H38">
    <cfRule type="duplicateValues" dxfId="692" priority="775" stopIfTrue="1"/>
  </conditionalFormatting>
  <conditionalFormatting sqref="L39:L41">
    <cfRule type="duplicateValues" dxfId="691" priority="774" stopIfTrue="1"/>
  </conditionalFormatting>
  <conditionalFormatting sqref="L38">
    <cfRule type="duplicateValues" dxfId="690" priority="773" stopIfTrue="1"/>
  </conditionalFormatting>
  <conditionalFormatting sqref="L39:L41">
    <cfRule type="duplicateValues" dxfId="689" priority="772" stopIfTrue="1"/>
  </conditionalFormatting>
  <conditionalFormatting sqref="L38">
    <cfRule type="duplicateValues" dxfId="688" priority="771" stopIfTrue="1"/>
  </conditionalFormatting>
  <conditionalFormatting sqref="F36:F38">
    <cfRule type="duplicateValues" dxfId="687" priority="770" stopIfTrue="1"/>
  </conditionalFormatting>
  <conditionalFormatting sqref="G41">
    <cfRule type="duplicateValues" dxfId="686" priority="769" stopIfTrue="1"/>
  </conditionalFormatting>
  <conditionalFormatting sqref="G41">
    <cfRule type="duplicateValues" dxfId="685" priority="768" stopIfTrue="1"/>
  </conditionalFormatting>
  <conditionalFormatting sqref="F39:F41">
    <cfRule type="duplicateValues" dxfId="684" priority="767" stopIfTrue="1"/>
  </conditionalFormatting>
  <conditionalFormatting sqref="K38">
    <cfRule type="duplicateValues" dxfId="683" priority="766" stopIfTrue="1"/>
  </conditionalFormatting>
  <conditionalFormatting sqref="K38">
    <cfRule type="duplicateValues" dxfId="682" priority="765" stopIfTrue="1"/>
  </conditionalFormatting>
  <conditionalFormatting sqref="J36:J38">
    <cfRule type="duplicateValues" dxfId="681" priority="764" stopIfTrue="1"/>
  </conditionalFormatting>
  <conditionalFormatting sqref="K41">
    <cfRule type="duplicateValues" dxfId="680" priority="763" stopIfTrue="1"/>
  </conditionalFormatting>
  <conditionalFormatting sqref="K41">
    <cfRule type="duplicateValues" dxfId="679" priority="762" stopIfTrue="1"/>
  </conditionalFormatting>
  <conditionalFormatting sqref="J39:J41">
    <cfRule type="duplicateValues" dxfId="678" priority="761" stopIfTrue="1"/>
  </conditionalFormatting>
  <conditionalFormatting sqref="G44">
    <cfRule type="duplicateValues" dxfId="677" priority="760" stopIfTrue="1"/>
  </conditionalFormatting>
  <conditionalFormatting sqref="G44">
    <cfRule type="duplicateValues" dxfId="676" priority="759" stopIfTrue="1"/>
  </conditionalFormatting>
  <conditionalFormatting sqref="H45:H47">
    <cfRule type="duplicateValues" dxfId="675" priority="758" stopIfTrue="1"/>
  </conditionalFormatting>
  <conditionalFormatting sqref="H44">
    <cfRule type="duplicateValues" dxfId="674" priority="757" stopIfTrue="1"/>
  </conditionalFormatting>
  <conditionalFormatting sqref="H45:H47">
    <cfRule type="duplicateValues" dxfId="673" priority="756" stopIfTrue="1"/>
  </conditionalFormatting>
  <conditionalFormatting sqref="H44">
    <cfRule type="duplicateValues" dxfId="672" priority="755" stopIfTrue="1"/>
  </conditionalFormatting>
  <conditionalFormatting sqref="L45:L47">
    <cfRule type="duplicateValues" dxfId="671" priority="754" stopIfTrue="1"/>
  </conditionalFormatting>
  <conditionalFormatting sqref="L44">
    <cfRule type="duplicateValues" dxfId="670" priority="753" stopIfTrue="1"/>
  </conditionalFormatting>
  <conditionalFormatting sqref="L45:L47">
    <cfRule type="duplicateValues" dxfId="669" priority="752" stopIfTrue="1"/>
  </conditionalFormatting>
  <conditionalFormatting sqref="L44">
    <cfRule type="duplicateValues" dxfId="668" priority="751" stopIfTrue="1"/>
  </conditionalFormatting>
  <conditionalFormatting sqref="F42:F44">
    <cfRule type="duplicateValues" dxfId="667" priority="750" stopIfTrue="1"/>
  </conditionalFormatting>
  <conditionalFormatting sqref="G47">
    <cfRule type="duplicateValues" dxfId="666" priority="749" stopIfTrue="1"/>
  </conditionalFormatting>
  <conditionalFormatting sqref="G47">
    <cfRule type="duplicateValues" dxfId="665" priority="748" stopIfTrue="1"/>
  </conditionalFormatting>
  <conditionalFormatting sqref="F45:F47">
    <cfRule type="duplicateValues" dxfId="664" priority="747" stopIfTrue="1"/>
  </conditionalFormatting>
  <conditionalFormatting sqref="K44">
    <cfRule type="duplicateValues" dxfId="663" priority="746" stopIfTrue="1"/>
  </conditionalFormatting>
  <conditionalFormatting sqref="K44">
    <cfRule type="duplicateValues" dxfId="662" priority="745" stopIfTrue="1"/>
  </conditionalFormatting>
  <conditionalFormatting sqref="J42:J44">
    <cfRule type="duplicateValues" dxfId="661" priority="744" stopIfTrue="1"/>
  </conditionalFormatting>
  <conditionalFormatting sqref="K47">
    <cfRule type="duplicateValues" dxfId="660" priority="743" stopIfTrue="1"/>
  </conditionalFormatting>
  <conditionalFormatting sqref="K47">
    <cfRule type="duplicateValues" dxfId="659" priority="742" stopIfTrue="1"/>
  </conditionalFormatting>
  <conditionalFormatting sqref="J45:J47">
    <cfRule type="duplicateValues" dxfId="658" priority="741" stopIfTrue="1"/>
  </conditionalFormatting>
  <conditionalFormatting sqref="G50">
    <cfRule type="duplicateValues" dxfId="657" priority="740" stopIfTrue="1"/>
  </conditionalFormatting>
  <conditionalFormatting sqref="G50">
    <cfRule type="duplicateValues" dxfId="656" priority="739" stopIfTrue="1"/>
  </conditionalFormatting>
  <conditionalFormatting sqref="H51:H53">
    <cfRule type="duplicateValues" dxfId="655" priority="738" stopIfTrue="1"/>
  </conditionalFormatting>
  <conditionalFormatting sqref="H50">
    <cfRule type="duplicateValues" dxfId="654" priority="737" stopIfTrue="1"/>
  </conditionalFormatting>
  <conditionalFormatting sqref="H51:H53">
    <cfRule type="duplicateValues" dxfId="653" priority="736" stopIfTrue="1"/>
  </conditionalFormatting>
  <conditionalFormatting sqref="H50">
    <cfRule type="duplicateValues" dxfId="652" priority="735" stopIfTrue="1"/>
  </conditionalFormatting>
  <conditionalFormatting sqref="L51:L53">
    <cfRule type="duplicateValues" dxfId="651" priority="734" stopIfTrue="1"/>
  </conditionalFormatting>
  <conditionalFormatting sqref="L50">
    <cfRule type="duplicateValues" dxfId="650" priority="733" stopIfTrue="1"/>
  </conditionalFormatting>
  <conditionalFormatting sqref="L51:L53">
    <cfRule type="duplicateValues" dxfId="649" priority="732" stopIfTrue="1"/>
  </conditionalFormatting>
  <conditionalFormatting sqref="L50">
    <cfRule type="duplicateValues" dxfId="648" priority="731" stopIfTrue="1"/>
  </conditionalFormatting>
  <conditionalFormatting sqref="F48:F50">
    <cfRule type="duplicateValues" dxfId="647" priority="730" stopIfTrue="1"/>
  </conditionalFormatting>
  <conditionalFormatting sqref="G53">
    <cfRule type="duplicateValues" dxfId="646" priority="729" stopIfTrue="1"/>
  </conditionalFormatting>
  <conditionalFormatting sqref="G53">
    <cfRule type="duplicateValues" dxfId="645" priority="728" stopIfTrue="1"/>
  </conditionalFormatting>
  <conditionalFormatting sqref="F51:F53">
    <cfRule type="duplicateValues" dxfId="644" priority="727" stopIfTrue="1"/>
  </conditionalFormatting>
  <conditionalFormatting sqref="K50">
    <cfRule type="duplicateValues" dxfId="643" priority="726" stopIfTrue="1"/>
  </conditionalFormatting>
  <conditionalFormatting sqref="K50">
    <cfRule type="duplicateValues" dxfId="642" priority="725" stopIfTrue="1"/>
  </conditionalFormatting>
  <conditionalFormatting sqref="J48:J50">
    <cfRule type="duplicateValues" dxfId="641" priority="724" stopIfTrue="1"/>
  </conditionalFormatting>
  <conditionalFormatting sqref="K53">
    <cfRule type="duplicateValues" dxfId="640" priority="723" stopIfTrue="1"/>
  </conditionalFormatting>
  <conditionalFormatting sqref="K53">
    <cfRule type="duplicateValues" dxfId="639" priority="722" stopIfTrue="1"/>
  </conditionalFormatting>
  <conditionalFormatting sqref="J51:J53">
    <cfRule type="duplicateValues" dxfId="638" priority="721" stopIfTrue="1"/>
  </conditionalFormatting>
  <conditionalFormatting sqref="G56">
    <cfRule type="duplicateValues" dxfId="637" priority="720" stopIfTrue="1"/>
  </conditionalFormatting>
  <conditionalFormatting sqref="G56">
    <cfRule type="duplicateValues" dxfId="636" priority="719" stopIfTrue="1"/>
  </conditionalFormatting>
  <conditionalFormatting sqref="H57:H59">
    <cfRule type="duplicateValues" dxfId="635" priority="718" stopIfTrue="1"/>
  </conditionalFormatting>
  <conditionalFormatting sqref="H56">
    <cfRule type="duplicateValues" dxfId="634" priority="717" stopIfTrue="1"/>
  </conditionalFormatting>
  <conditionalFormatting sqref="H57:H59">
    <cfRule type="duplicateValues" dxfId="633" priority="716" stopIfTrue="1"/>
  </conditionalFormatting>
  <conditionalFormatting sqref="H56">
    <cfRule type="duplicateValues" dxfId="632" priority="715" stopIfTrue="1"/>
  </conditionalFormatting>
  <conditionalFormatting sqref="L57:L59">
    <cfRule type="duplicateValues" dxfId="631" priority="714" stopIfTrue="1"/>
  </conditionalFormatting>
  <conditionalFormatting sqref="L56">
    <cfRule type="duplicateValues" dxfId="630" priority="713" stopIfTrue="1"/>
  </conditionalFormatting>
  <conditionalFormatting sqref="L57:L59">
    <cfRule type="duplicateValues" dxfId="629" priority="712" stopIfTrue="1"/>
  </conditionalFormatting>
  <conditionalFormatting sqref="L56">
    <cfRule type="duplicateValues" dxfId="628" priority="711" stopIfTrue="1"/>
  </conditionalFormatting>
  <conditionalFormatting sqref="F54:F56">
    <cfRule type="duplicateValues" dxfId="627" priority="710" stopIfTrue="1"/>
  </conditionalFormatting>
  <conditionalFormatting sqref="G59">
    <cfRule type="duplicateValues" dxfId="626" priority="709" stopIfTrue="1"/>
  </conditionalFormatting>
  <conditionalFormatting sqref="G59">
    <cfRule type="duplicateValues" dxfId="625" priority="708" stopIfTrue="1"/>
  </conditionalFormatting>
  <conditionalFormatting sqref="F57:F59">
    <cfRule type="duplicateValues" dxfId="624" priority="707" stopIfTrue="1"/>
  </conditionalFormatting>
  <conditionalFormatting sqref="K56">
    <cfRule type="duplicateValues" dxfId="623" priority="706" stopIfTrue="1"/>
  </conditionalFormatting>
  <conditionalFormatting sqref="K56">
    <cfRule type="duplicateValues" dxfId="622" priority="705" stopIfTrue="1"/>
  </conditionalFormatting>
  <conditionalFormatting sqref="J54:J56">
    <cfRule type="duplicateValues" dxfId="621" priority="704" stopIfTrue="1"/>
  </conditionalFormatting>
  <conditionalFormatting sqref="K59">
    <cfRule type="duplicateValues" dxfId="620" priority="703" stopIfTrue="1"/>
  </conditionalFormatting>
  <conditionalFormatting sqref="K59">
    <cfRule type="duplicateValues" dxfId="619" priority="702" stopIfTrue="1"/>
  </conditionalFormatting>
  <conditionalFormatting sqref="J57:J59">
    <cfRule type="duplicateValues" dxfId="618" priority="701" stopIfTrue="1"/>
  </conditionalFormatting>
  <conditionalFormatting sqref="G62">
    <cfRule type="duplicateValues" dxfId="617" priority="700" stopIfTrue="1"/>
  </conditionalFormatting>
  <conditionalFormatting sqref="G62">
    <cfRule type="duplicateValues" dxfId="616" priority="699" stopIfTrue="1"/>
  </conditionalFormatting>
  <conditionalFormatting sqref="H63:H65">
    <cfRule type="duplicateValues" dxfId="615" priority="698" stopIfTrue="1"/>
  </conditionalFormatting>
  <conditionalFormatting sqref="H62">
    <cfRule type="duplicateValues" dxfId="614" priority="697" stopIfTrue="1"/>
  </conditionalFormatting>
  <conditionalFormatting sqref="H63:H65">
    <cfRule type="duplicateValues" dxfId="613" priority="696" stopIfTrue="1"/>
  </conditionalFormatting>
  <conditionalFormatting sqref="H62">
    <cfRule type="duplicateValues" dxfId="612" priority="695" stopIfTrue="1"/>
  </conditionalFormatting>
  <conditionalFormatting sqref="L63:L65 L69:L71 L75:L77 L81:L83 L87:L89 L93:L95 L99:L101 L105:L107 L111:L113">
    <cfRule type="duplicateValues" dxfId="611" priority="694" stopIfTrue="1"/>
  </conditionalFormatting>
  <conditionalFormatting sqref="L62">
    <cfRule type="duplicateValues" dxfId="610" priority="693" stopIfTrue="1"/>
  </conditionalFormatting>
  <conditionalFormatting sqref="L63:L65 L69:L71 L75:L77 L81:L83 L87:L89 L93:L95 L99:L101 L105:L107 L111:L113">
    <cfRule type="duplicateValues" dxfId="609" priority="692" stopIfTrue="1"/>
  </conditionalFormatting>
  <conditionalFormatting sqref="L62">
    <cfRule type="duplicateValues" dxfId="608" priority="691" stopIfTrue="1"/>
  </conditionalFormatting>
  <conditionalFormatting sqref="F60:F62">
    <cfRule type="duplicateValues" dxfId="607" priority="690" stopIfTrue="1"/>
  </conditionalFormatting>
  <conditionalFormatting sqref="G65">
    <cfRule type="duplicateValues" dxfId="606" priority="689" stopIfTrue="1"/>
  </conditionalFormatting>
  <conditionalFormatting sqref="G65">
    <cfRule type="duplicateValues" dxfId="605" priority="688" stopIfTrue="1"/>
  </conditionalFormatting>
  <conditionalFormatting sqref="F63:F65">
    <cfRule type="duplicateValues" dxfId="604" priority="687" stopIfTrue="1"/>
  </conditionalFormatting>
  <conditionalFormatting sqref="K62">
    <cfRule type="duplicateValues" dxfId="603" priority="686" stopIfTrue="1"/>
  </conditionalFormatting>
  <conditionalFormatting sqref="K62">
    <cfRule type="duplicateValues" dxfId="602" priority="685" stopIfTrue="1"/>
  </conditionalFormatting>
  <conditionalFormatting sqref="J60:J62">
    <cfRule type="duplicateValues" dxfId="601" priority="684" stopIfTrue="1"/>
  </conditionalFormatting>
  <conditionalFormatting sqref="K65 K71 K77 K83 K89 K95 K101 K107 K113">
    <cfRule type="duplicateValues" dxfId="600" priority="683" stopIfTrue="1"/>
  </conditionalFormatting>
  <conditionalFormatting sqref="K65 K71 K77 K83 K89 K95 K101 K107 K113">
    <cfRule type="duplicateValues" dxfId="599" priority="682" stopIfTrue="1"/>
  </conditionalFormatting>
  <conditionalFormatting sqref="J63:J65">
    <cfRule type="duplicateValues" dxfId="598" priority="681" stopIfTrue="1"/>
  </conditionalFormatting>
  <conditionalFormatting sqref="G68 G74 G80 G86 G92 G98 G104 G110 G116">
    <cfRule type="duplicateValues" dxfId="597" priority="680" stopIfTrue="1"/>
  </conditionalFormatting>
  <conditionalFormatting sqref="G68 G74 G80 G86 G92 G98 G104 G110 G116">
    <cfRule type="duplicateValues" dxfId="596" priority="679" stopIfTrue="1"/>
  </conditionalFormatting>
  <conditionalFormatting sqref="H68 H74 H80 H86 H92 H98 H104 H110 H116">
    <cfRule type="duplicateValues" dxfId="595" priority="677" stopIfTrue="1"/>
  </conditionalFormatting>
  <conditionalFormatting sqref="H68 H74 H80 H86 H92 H98 H104 H110 H116">
    <cfRule type="duplicateValues" dxfId="594" priority="675" stopIfTrue="1"/>
  </conditionalFormatting>
  <conditionalFormatting sqref="L68 L74 L80 L86 L92 L98 L104 L110 L116">
    <cfRule type="duplicateValues" dxfId="593" priority="673" stopIfTrue="1"/>
  </conditionalFormatting>
  <conditionalFormatting sqref="L68 L74 L80 L86 L92 L98 L104 L110 L116">
    <cfRule type="duplicateValues" dxfId="592" priority="671" stopIfTrue="1"/>
  </conditionalFormatting>
  <conditionalFormatting sqref="F66:F68 F72:F74 F78:F80 F84:F86 F90:F92 F96:F98 F102:F104 F108:F110 F114:F116">
    <cfRule type="duplicateValues" dxfId="591" priority="670" stopIfTrue="1"/>
  </conditionalFormatting>
  <conditionalFormatting sqref="G71 G77 G83 G89 G95 G101 G107 G113">
    <cfRule type="duplicateValues" dxfId="590" priority="669" stopIfTrue="1"/>
  </conditionalFormatting>
  <conditionalFormatting sqref="G71 G77 G83 G89 G95 G101 G107 G113">
    <cfRule type="duplicateValues" dxfId="589" priority="668" stopIfTrue="1"/>
  </conditionalFormatting>
  <conditionalFormatting sqref="K68 K74 K80 K86 K92 K98 K104 K110 K116">
    <cfRule type="duplicateValues" dxfId="588" priority="666" stopIfTrue="1"/>
  </conditionalFormatting>
  <conditionalFormatting sqref="K68 K74 K80 K86 K92 K98 K104 K110 K116">
    <cfRule type="duplicateValues" dxfId="587" priority="665" stopIfTrue="1"/>
  </conditionalFormatting>
  <conditionalFormatting sqref="J66:J68 J72:J74 J78:J80 J84:J86 J90:J92 J96:J98 J102:J104 J108:J110 J114:J116">
    <cfRule type="duplicateValues" dxfId="586" priority="664" stopIfTrue="1"/>
  </conditionalFormatting>
  <conditionalFormatting sqref="G120">
    <cfRule type="duplicateValues" dxfId="585" priority="660" stopIfTrue="1"/>
  </conditionalFormatting>
  <conditionalFormatting sqref="G120">
    <cfRule type="duplicateValues" dxfId="584" priority="659" stopIfTrue="1"/>
  </conditionalFormatting>
  <conditionalFormatting sqref="H121:H123">
    <cfRule type="duplicateValues" dxfId="583" priority="658" stopIfTrue="1"/>
  </conditionalFormatting>
  <conditionalFormatting sqref="H120">
    <cfRule type="duplicateValues" dxfId="582" priority="657" stopIfTrue="1"/>
  </conditionalFormatting>
  <conditionalFormatting sqref="H121:H123">
    <cfRule type="duplicateValues" dxfId="581" priority="656" stopIfTrue="1"/>
  </conditionalFormatting>
  <conditionalFormatting sqref="H120">
    <cfRule type="duplicateValues" dxfId="580" priority="655" stopIfTrue="1"/>
  </conditionalFormatting>
  <conditionalFormatting sqref="L121:L123">
    <cfRule type="duplicateValues" dxfId="579" priority="654" stopIfTrue="1"/>
  </conditionalFormatting>
  <conditionalFormatting sqref="L120">
    <cfRule type="duplicateValues" dxfId="578" priority="653" stopIfTrue="1"/>
  </conditionalFormatting>
  <conditionalFormatting sqref="L121:L123">
    <cfRule type="duplicateValues" dxfId="577" priority="652" stopIfTrue="1"/>
  </conditionalFormatting>
  <conditionalFormatting sqref="L120">
    <cfRule type="duplicateValues" dxfId="576" priority="651" stopIfTrue="1"/>
  </conditionalFormatting>
  <conditionalFormatting sqref="F118:F120">
    <cfRule type="duplicateValues" dxfId="575" priority="650" stopIfTrue="1"/>
  </conditionalFormatting>
  <conditionalFormatting sqref="G123">
    <cfRule type="duplicateValues" dxfId="574" priority="649" stopIfTrue="1"/>
  </conditionalFormatting>
  <conditionalFormatting sqref="G123">
    <cfRule type="duplicateValues" dxfId="573" priority="648" stopIfTrue="1"/>
  </conditionalFormatting>
  <conditionalFormatting sqref="F121:F123">
    <cfRule type="duplicateValues" dxfId="572" priority="647" stopIfTrue="1"/>
  </conditionalFormatting>
  <conditionalFormatting sqref="K120">
    <cfRule type="duplicateValues" dxfId="571" priority="646" stopIfTrue="1"/>
  </conditionalFormatting>
  <conditionalFormatting sqref="K120">
    <cfRule type="duplicateValues" dxfId="570" priority="645" stopIfTrue="1"/>
  </conditionalFormatting>
  <conditionalFormatting sqref="K123">
    <cfRule type="duplicateValues" dxfId="569" priority="643" stopIfTrue="1"/>
  </conditionalFormatting>
  <conditionalFormatting sqref="K123">
    <cfRule type="duplicateValues" dxfId="568" priority="642" stopIfTrue="1"/>
  </conditionalFormatting>
  <conditionalFormatting sqref="G126">
    <cfRule type="duplicateValues" dxfId="567" priority="640" stopIfTrue="1"/>
  </conditionalFormatting>
  <conditionalFormatting sqref="G126">
    <cfRule type="duplicateValues" dxfId="566" priority="639" stopIfTrue="1"/>
  </conditionalFormatting>
  <conditionalFormatting sqref="H127:H129">
    <cfRule type="duplicateValues" dxfId="565" priority="638" stopIfTrue="1"/>
  </conditionalFormatting>
  <conditionalFormatting sqref="H126">
    <cfRule type="duplicateValues" dxfId="564" priority="637" stopIfTrue="1"/>
  </conditionalFormatting>
  <conditionalFormatting sqref="H127:H129">
    <cfRule type="duplicateValues" dxfId="563" priority="636" stopIfTrue="1"/>
  </conditionalFormatting>
  <conditionalFormatting sqref="H126">
    <cfRule type="duplicateValues" dxfId="562" priority="635" stopIfTrue="1"/>
  </conditionalFormatting>
  <conditionalFormatting sqref="L127:L129">
    <cfRule type="duplicateValues" dxfId="561" priority="634" stopIfTrue="1"/>
  </conditionalFormatting>
  <conditionalFormatting sqref="L126">
    <cfRule type="duplicateValues" dxfId="560" priority="633" stopIfTrue="1"/>
  </conditionalFormatting>
  <conditionalFormatting sqref="L127:L129">
    <cfRule type="duplicateValues" dxfId="559" priority="632" stopIfTrue="1"/>
  </conditionalFormatting>
  <conditionalFormatting sqref="L126">
    <cfRule type="duplicateValues" dxfId="558" priority="631" stopIfTrue="1"/>
  </conditionalFormatting>
  <conditionalFormatting sqref="F124:F126">
    <cfRule type="duplicateValues" dxfId="557" priority="630" stopIfTrue="1"/>
  </conditionalFormatting>
  <conditionalFormatting sqref="G129">
    <cfRule type="duplicateValues" dxfId="556" priority="629" stopIfTrue="1"/>
  </conditionalFormatting>
  <conditionalFormatting sqref="G129">
    <cfRule type="duplicateValues" dxfId="555" priority="628" stopIfTrue="1"/>
  </conditionalFormatting>
  <conditionalFormatting sqref="F127:F129">
    <cfRule type="duplicateValues" dxfId="554" priority="627" stopIfTrue="1"/>
  </conditionalFormatting>
  <conditionalFormatting sqref="K126">
    <cfRule type="duplicateValues" dxfId="553" priority="626" stopIfTrue="1"/>
  </conditionalFormatting>
  <conditionalFormatting sqref="K126">
    <cfRule type="duplicateValues" dxfId="552" priority="625" stopIfTrue="1"/>
  </conditionalFormatting>
  <conditionalFormatting sqref="K129">
    <cfRule type="duplicateValues" dxfId="551" priority="623" stopIfTrue="1"/>
  </conditionalFormatting>
  <conditionalFormatting sqref="K129">
    <cfRule type="duplicateValues" dxfId="550" priority="622" stopIfTrue="1"/>
  </conditionalFormatting>
  <conditionalFormatting sqref="G132">
    <cfRule type="duplicateValues" dxfId="549" priority="620" stopIfTrue="1"/>
  </conditionalFormatting>
  <conditionalFormatting sqref="G132">
    <cfRule type="duplicateValues" dxfId="548" priority="619" stopIfTrue="1"/>
  </conditionalFormatting>
  <conditionalFormatting sqref="H133:H135">
    <cfRule type="duplicateValues" dxfId="547" priority="618" stopIfTrue="1"/>
  </conditionalFormatting>
  <conditionalFormatting sqref="H132">
    <cfRule type="duplicateValues" dxfId="546" priority="617" stopIfTrue="1"/>
  </conditionalFormatting>
  <conditionalFormatting sqref="H133:H135">
    <cfRule type="duplicateValues" dxfId="545" priority="616" stopIfTrue="1"/>
  </conditionalFormatting>
  <conditionalFormatting sqref="H132">
    <cfRule type="duplicateValues" dxfId="544" priority="615" stopIfTrue="1"/>
  </conditionalFormatting>
  <conditionalFormatting sqref="L133:L135">
    <cfRule type="duplicateValues" dxfId="543" priority="614" stopIfTrue="1"/>
  </conditionalFormatting>
  <conditionalFormatting sqref="L132">
    <cfRule type="duplicateValues" dxfId="542" priority="613" stopIfTrue="1"/>
  </conditionalFormatting>
  <conditionalFormatting sqref="L133:L135">
    <cfRule type="duplicateValues" dxfId="541" priority="612" stopIfTrue="1"/>
  </conditionalFormatting>
  <conditionalFormatting sqref="L132">
    <cfRule type="duplicateValues" dxfId="540" priority="611" stopIfTrue="1"/>
  </conditionalFormatting>
  <conditionalFormatting sqref="F130:F132">
    <cfRule type="duplicateValues" dxfId="539" priority="610" stopIfTrue="1"/>
  </conditionalFormatting>
  <conditionalFormatting sqref="G135">
    <cfRule type="duplicateValues" dxfId="538" priority="609" stopIfTrue="1"/>
  </conditionalFormatting>
  <conditionalFormatting sqref="G135">
    <cfRule type="duplicateValues" dxfId="537" priority="608" stopIfTrue="1"/>
  </conditionalFormatting>
  <conditionalFormatting sqref="F133:F135">
    <cfRule type="duplicateValues" dxfId="536" priority="607" stopIfTrue="1"/>
  </conditionalFormatting>
  <conditionalFormatting sqref="K132">
    <cfRule type="duplicateValues" dxfId="535" priority="606" stopIfTrue="1"/>
  </conditionalFormatting>
  <conditionalFormatting sqref="K132">
    <cfRule type="duplicateValues" dxfId="534" priority="605" stopIfTrue="1"/>
  </conditionalFormatting>
  <conditionalFormatting sqref="K135">
    <cfRule type="duplicateValues" dxfId="533" priority="603" stopIfTrue="1"/>
  </conditionalFormatting>
  <conditionalFormatting sqref="K135">
    <cfRule type="duplicateValues" dxfId="532" priority="602" stopIfTrue="1"/>
  </conditionalFormatting>
  <conditionalFormatting sqref="G138">
    <cfRule type="duplicateValues" dxfId="531" priority="600" stopIfTrue="1"/>
  </conditionalFormatting>
  <conditionalFormatting sqref="G138">
    <cfRule type="duplicateValues" dxfId="530" priority="599" stopIfTrue="1"/>
  </conditionalFormatting>
  <conditionalFormatting sqref="H139:H141">
    <cfRule type="duplicateValues" dxfId="529" priority="598" stopIfTrue="1"/>
  </conditionalFormatting>
  <conditionalFormatting sqref="H138">
    <cfRule type="duplicateValues" dxfId="528" priority="597" stopIfTrue="1"/>
  </conditionalFormatting>
  <conditionalFormatting sqref="H139:H141">
    <cfRule type="duplicateValues" dxfId="527" priority="596" stopIfTrue="1"/>
  </conditionalFormatting>
  <conditionalFormatting sqref="H138">
    <cfRule type="duplicateValues" dxfId="526" priority="595" stopIfTrue="1"/>
  </conditionalFormatting>
  <conditionalFormatting sqref="L139:L141">
    <cfRule type="duplicateValues" dxfId="525" priority="594" stopIfTrue="1"/>
  </conditionalFormatting>
  <conditionalFormatting sqref="L138">
    <cfRule type="duplicateValues" dxfId="524" priority="593" stopIfTrue="1"/>
  </conditionalFormatting>
  <conditionalFormatting sqref="L139:L141">
    <cfRule type="duplicateValues" dxfId="523" priority="592" stopIfTrue="1"/>
  </conditionalFormatting>
  <conditionalFormatting sqref="L138">
    <cfRule type="duplicateValues" dxfId="522" priority="591" stopIfTrue="1"/>
  </conditionalFormatting>
  <conditionalFormatting sqref="F136:F138">
    <cfRule type="duplicateValues" dxfId="521" priority="590" stopIfTrue="1"/>
  </conditionalFormatting>
  <conditionalFormatting sqref="G141">
    <cfRule type="duplicateValues" dxfId="520" priority="589" stopIfTrue="1"/>
  </conditionalFormatting>
  <conditionalFormatting sqref="G141">
    <cfRule type="duplicateValues" dxfId="519" priority="588" stopIfTrue="1"/>
  </conditionalFormatting>
  <conditionalFormatting sqref="F139:F141">
    <cfRule type="duplicateValues" dxfId="518" priority="587" stopIfTrue="1"/>
  </conditionalFormatting>
  <conditionalFormatting sqref="K138">
    <cfRule type="duplicateValues" dxfId="517" priority="586" stopIfTrue="1"/>
  </conditionalFormatting>
  <conditionalFormatting sqref="K138">
    <cfRule type="duplicateValues" dxfId="516" priority="585" stopIfTrue="1"/>
  </conditionalFormatting>
  <conditionalFormatting sqref="K141">
    <cfRule type="duplicateValues" dxfId="515" priority="583" stopIfTrue="1"/>
  </conditionalFormatting>
  <conditionalFormatting sqref="K141">
    <cfRule type="duplicateValues" dxfId="514" priority="582" stopIfTrue="1"/>
  </conditionalFormatting>
  <conditionalFormatting sqref="G144">
    <cfRule type="duplicateValues" dxfId="513" priority="580" stopIfTrue="1"/>
  </conditionalFormatting>
  <conditionalFormatting sqref="G144">
    <cfRule type="duplicateValues" dxfId="512" priority="579" stopIfTrue="1"/>
  </conditionalFormatting>
  <conditionalFormatting sqref="H145:H147">
    <cfRule type="duplicateValues" dxfId="511" priority="578" stopIfTrue="1"/>
  </conditionalFormatting>
  <conditionalFormatting sqref="H144">
    <cfRule type="duplicateValues" dxfId="510" priority="577" stopIfTrue="1"/>
  </conditionalFormatting>
  <conditionalFormatting sqref="H145:H147">
    <cfRule type="duplicateValues" dxfId="509" priority="576" stopIfTrue="1"/>
  </conditionalFormatting>
  <conditionalFormatting sqref="H144">
    <cfRule type="duplicateValues" dxfId="508" priority="575" stopIfTrue="1"/>
  </conditionalFormatting>
  <conditionalFormatting sqref="L145:L147">
    <cfRule type="duplicateValues" dxfId="507" priority="574" stopIfTrue="1"/>
  </conditionalFormatting>
  <conditionalFormatting sqref="L144">
    <cfRule type="duplicateValues" dxfId="506" priority="573" stopIfTrue="1"/>
  </conditionalFormatting>
  <conditionalFormatting sqref="L145:L147">
    <cfRule type="duplicateValues" dxfId="505" priority="572" stopIfTrue="1"/>
  </conditionalFormatting>
  <conditionalFormatting sqref="L144">
    <cfRule type="duplicateValues" dxfId="504" priority="571" stopIfTrue="1"/>
  </conditionalFormatting>
  <conditionalFormatting sqref="F142:F144">
    <cfRule type="duplicateValues" dxfId="503" priority="570" stopIfTrue="1"/>
  </conditionalFormatting>
  <conditionalFormatting sqref="G147">
    <cfRule type="duplicateValues" dxfId="502" priority="569" stopIfTrue="1"/>
  </conditionalFormatting>
  <conditionalFormatting sqref="G147">
    <cfRule type="duplicateValues" dxfId="501" priority="568" stopIfTrue="1"/>
  </conditionalFormatting>
  <conditionalFormatting sqref="F145:F147">
    <cfRule type="duplicateValues" dxfId="500" priority="567" stopIfTrue="1"/>
  </conditionalFormatting>
  <conditionalFormatting sqref="K144">
    <cfRule type="duplicateValues" dxfId="499" priority="566" stopIfTrue="1"/>
  </conditionalFormatting>
  <conditionalFormatting sqref="K144">
    <cfRule type="duplicateValues" dxfId="498" priority="565" stopIfTrue="1"/>
  </conditionalFormatting>
  <conditionalFormatting sqref="K147">
    <cfRule type="duplicateValues" dxfId="497" priority="563" stopIfTrue="1"/>
  </conditionalFormatting>
  <conditionalFormatting sqref="K147">
    <cfRule type="duplicateValues" dxfId="496" priority="562" stopIfTrue="1"/>
  </conditionalFormatting>
  <conditionalFormatting sqref="G150">
    <cfRule type="duplicateValues" dxfId="495" priority="560" stopIfTrue="1"/>
  </conditionalFormatting>
  <conditionalFormatting sqref="G150">
    <cfRule type="duplicateValues" dxfId="494" priority="559" stopIfTrue="1"/>
  </conditionalFormatting>
  <conditionalFormatting sqref="H151:H153">
    <cfRule type="duplicateValues" dxfId="493" priority="558" stopIfTrue="1"/>
  </conditionalFormatting>
  <conditionalFormatting sqref="H150">
    <cfRule type="duplicateValues" dxfId="492" priority="557" stopIfTrue="1"/>
  </conditionalFormatting>
  <conditionalFormatting sqref="H151:H153">
    <cfRule type="duplicateValues" dxfId="491" priority="556" stopIfTrue="1"/>
  </conditionalFormatting>
  <conditionalFormatting sqref="H150">
    <cfRule type="duplicateValues" dxfId="490" priority="555" stopIfTrue="1"/>
  </conditionalFormatting>
  <conditionalFormatting sqref="L151:L153">
    <cfRule type="duplicateValues" dxfId="489" priority="554" stopIfTrue="1"/>
  </conditionalFormatting>
  <conditionalFormatting sqref="L150">
    <cfRule type="duplicateValues" dxfId="488" priority="553" stopIfTrue="1"/>
  </conditionalFormatting>
  <conditionalFormatting sqref="L151:L153">
    <cfRule type="duplicateValues" dxfId="487" priority="552" stopIfTrue="1"/>
  </conditionalFormatting>
  <conditionalFormatting sqref="L150">
    <cfRule type="duplicateValues" dxfId="486" priority="551" stopIfTrue="1"/>
  </conditionalFormatting>
  <conditionalFormatting sqref="F148:F150">
    <cfRule type="duplicateValues" dxfId="485" priority="550" stopIfTrue="1"/>
  </conditionalFormatting>
  <conditionalFormatting sqref="G153">
    <cfRule type="duplicateValues" dxfId="484" priority="549" stopIfTrue="1"/>
  </conditionalFormatting>
  <conditionalFormatting sqref="G153">
    <cfRule type="duplicateValues" dxfId="483" priority="548" stopIfTrue="1"/>
  </conditionalFormatting>
  <conditionalFormatting sqref="F151:F153">
    <cfRule type="duplicateValues" dxfId="482" priority="547" stopIfTrue="1"/>
  </conditionalFormatting>
  <conditionalFormatting sqref="K150">
    <cfRule type="duplicateValues" dxfId="481" priority="546" stopIfTrue="1"/>
  </conditionalFormatting>
  <conditionalFormatting sqref="K150">
    <cfRule type="duplicateValues" dxfId="480" priority="545" stopIfTrue="1"/>
  </conditionalFormatting>
  <conditionalFormatting sqref="K153">
    <cfRule type="duplicateValues" dxfId="479" priority="543" stopIfTrue="1"/>
  </conditionalFormatting>
  <conditionalFormatting sqref="K153">
    <cfRule type="duplicateValues" dxfId="478" priority="542" stopIfTrue="1"/>
  </conditionalFormatting>
  <conditionalFormatting sqref="G156">
    <cfRule type="duplicateValues" dxfId="477" priority="540" stopIfTrue="1"/>
  </conditionalFormatting>
  <conditionalFormatting sqref="G156">
    <cfRule type="duplicateValues" dxfId="476" priority="539" stopIfTrue="1"/>
  </conditionalFormatting>
  <conditionalFormatting sqref="H157:H159">
    <cfRule type="duplicateValues" dxfId="475" priority="538" stopIfTrue="1"/>
  </conditionalFormatting>
  <conditionalFormatting sqref="H156">
    <cfRule type="duplicateValues" dxfId="474" priority="537" stopIfTrue="1"/>
  </conditionalFormatting>
  <conditionalFormatting sqref="H157:H159">
    <cfRule type="duplicateValues" dxfId="473" priority="536" stopIfTrue="1"/>
  </conditionalFormatting>
  <conditionalFormatting sqref="H156">
    <cfRule type="duplicateValues" dxfId="472" priority="535" stopIfTrue="1"/>
  </conditionalFormatting>
  <conditionalFormatting sqref="L157:L159">
    <cfRule type="duplicateValues" dxfId="471" priority="534" stopIfTrue="1"/>
  </conditionalFormatting>
  <conditionalFormatting sqref="L156">
    <cfRule type="duplicateValues" dxfId="470" priority="533" stopIfTrue="1"/>
  </conditionalFormatting>
  <conditionalFormatting sqref="L157:L159">
    <cfRule type="duplicateValues" dxfId="469" priority="532" stopIfTrue="1"/>
  </conditionalFormatting>
  <conditionalFormatting sqref="L156">
    <cfRule type="duplicateValues" dxfId="468" priority="531" stopIfTrue="1"/>
  </conditionalFormatting>
  <conditionalFormatting sqref="F154:F156">
    <cfRule type="duplicateValues" dxfId="467" priority="530" stopIfTrue="1"/>
  </conditionalFormatting>
  <conditionalFormatting sqref="G159">
    <cfRule type="duplicateValues" dxfId="466" priority="529" stopIfTrue="1"/>
  </conditionalFormatting>
  <conditionalFormatting sqref="G159">
    <cfRule type="duplicateValues" dxfId="465" priority="528" stopIfTrue="1"/>
  </conditionalFormatting>
  <conditionalFormatting sqref="F157:F159">
    <cfRule type="duplicateValues" dxfId="464" priority="527" stopIfTrue="1"/>
  </conditionalFormatting>
  <conditionalFormatting sqref="K156">
    <cfRule type="duplicateValues" dxfId="463" priority="526" stopIfTrue="1"/>
  </conditionalFormatting>
  <conditionalFormatting sqref="K156">
    <cfRule type="duplicateValues" dxfId="462" priority="525" stopIfTrue="1"/>
  </conditionalFormatting>
  <conditionalFormatting sqref="K159">
    <cfRule type="duplicateValues" dxfId="461" priority="523" stopIfTrue="1"/>
  </conditionalFormatting>
  <conditionalFormatting sqref="K159">
    <cfRule type="duplicateValues" dxfId="460" priority="522" stopIfTrue="1"/>
  </conditionalFormatting>
  <conditionalFormatting sqref="G162">
    <cfRule type="duplicateValues" dxfId="459" priority="520" stopIfTrue="1"/>
  </conditionalFormatting>
  <conditionalFormatting sqref="G162">
    <cfRule type="duplicateValues" dxfId="458" priority="519" stopIfTrue="1"/>
  </conditionalFormatting>
  <conditionalFormatting sqref="H163:H165">
    <cfRule type="duplicateValues" dxfId="457" priority="518" stopIfTrue="1"/>
  </conditionalFormatting>
  <conditionalFormatting sqref="H162">
    <cfRule type="duplicateValues" dxfId="456" priority="517" stopIfTrue="1"/>
  </conditionalFormatting>
  <conditionalFormatting sqref="H163:H165">
    <cfRule type="duplicateValues" dxfId="455" priority="516" stopIfTrue="1"/>
  </conditionalFormatting>
  <conditionalFormatting sqref="H162">
    <cfRule type="duplicateValues" dxfId="454" priority="515" stopIfTrue="1"/>
  </conditionalFormatting>
  <conditionalFormatting sqref="L163:L165">
    <cfRule type="duplicateValues" dxfId="453" priority="514" stopIfTrue="1"/>
  </conditionalFormatting>
  <conditionalFormatting sqref="L162">
    <cfRule type="duplicateValues" dxfId="452" priority="513" stopIfTrue="1"/>
  </conditionalFormatting>
  <conditionalFormatting sqref="L163:L165">
    <cfRule type="duplicateValues" dxfId="451" priority="512" stopIfTrue="1"/>
  </conditionalFormatting>
  <conditionalFormatting sqref="L162">
    <cfRule type="duplicateValues" dxfId="450" priority="511" stopIfTrue="1"/>
  </conditionalFormatting>
  <conditionalFormatting sqref="F160:F162">
    <cfRule type="duplicateValues" dxfId="449" priority="510" stopIfTrue="1"/>
  </conditionalFormatting>
  <conditionalFormatting sqref="G165">
    <cfRule type="duplicateValues" dxfId="448" priority="509" stopIfTrue="1"/>
  </conditionalFormatting>
  <conditionalFormatting sqref="G165">
    <cfRule type="duplicateValues" dxfId="447" priority="508" stopIfTrue="1"/>
  </conditionalFormatting>
  <conditionalFormatting sqref="F163:F165">
    <cfRule type="duplicateValues" dxfId="446" priority="507" stopIfTrue="1"/>
  </conditionalFormatting>
  <conditionalFormatting sqref="K162">
    <cfRule type="duplicateValues" dxfId="445" priority="506" stopIfTrue="1"/>
  </conditionalFormatting>
  <conditionalFormatting sqref="K162">
    <cfRule type="duplicateValues" dxfId="444" priority="505" stopIfTrue="1"/>
  </conditionalFormatting>
  <conditionalFormatting sqref="K165">
    <cfRule type="duplicateValues" dxfId="443" priority="503" stopIfTrue="1"/>
  </conditionalFormatting>
  <conditionalFormatting sqref="K165">
    <cfRule type="duplicateValues" dxfId="442" priority="502" stopIfTrue="1"/>
  </conditionalFormatting>
  <conditionalFormatting sqref="G168">
    <cfRule type="duplicateValues" dxfId="441" priority="500" stopIfTrue="1"/>
  </conditionalFormatting>
  <conditionalFormatting sqref="G168">
    <cfRule type="duplicateValues" dxfId="440" priority="499" stopIfTrue="1"/>
  </conditionalFormatting>
  <conditionalFormatting sqref="H168">
    <cfRule type="duplicateValues" dxfId="439" priority="497" stopIfTrue="1"/>
  </conditionalFormatting>
  <conditionalFormatting sqref="H168">
    <cfRule type="duplicateValues" dxfId="438" priority="495" stopIfTrue="1"/>
  </conditionalFormatting>
  <conditionalFormatting sqref="L169:L171">
    <cfRule type="duplicateValues" dxfId="437" priority="494" stopIfTrue="1"/>
  </conditionalFormatting>
  <conditionalFormatting sqref="L168">
    <cfRule type="duplicateValues" dxfId="436" priority="493" stopIfTrue="1"/>
  </conditionalFormatting>
  <conditionalFormatting sqref="L169:L171">
    <cfRule type="duplicateValues" dxfId="435" priority="492" stopIfTrue="1"/>
  </conditionalFormatting>
  <conditionalFormatting sqref="L168">
    <cfRule type="duplicateValues" dxfId="434" priority="491" stopIfTrue="1"/>
  </conditionalFormatting>
  <conditionalFormatting sqref="F166:F168">
    <cfRule type="duplicateValues" dxfId="433" priority="490" stopIfTrue="1"/>
  </conditionalFormatting>
  <conditionalFormatting sqref="G171 G177 G183 G189 G195 G201 G207 G213 G219">
    <cfRule type="duplicateValues" dxfId="432" priority="489" stopIfTrue="1"/>
  </conditionalFormatting>
  <conditionalFormatting sqref="G171 G177 G183 G189 G195 G201 G207 G213 G219">
    <cfRule type="duplicateValues" dxfId="431" priority="488" stopIfTrue="1"/>
  </conditionalFormatting>
  <conditionalFormatting sqref="K168">
    <cfRule type="duplicateValues" dxfId="430" priority="486" stopIfTrue="1"/>
  </conditionalFormatting>
  <conditionalFormatting sqref="K168">
    <cfRule type="duplicateValues" dxfId="429" priority="485" stopIfTrue="1"/>
  </conditionalFormatting>
  <conditionalFormatting sqref="K171">
    <cfRule type="duplicateValues" dxfId="428" priority="483" stopIfTrue="1"/>
  </conditionalFormatting>
  <conditionalFormatting sqref="K171">
    <cfRule type="duplicateValues" dxfId="427" priority="482" stopIfTrue="1"/>
  </conditionalFormatting>
  <conditionalFormatting sqref="G174 G180 G186 G192 G198 G204 G210 G216 G222">
    <cfRule type="duplicateValues" dxfId="426" priority="480" stopIfTrue="1"/>
  </conditionalFormatting>
  <conditionalFormatting sqref="G174 G180 G186 G192 G198 G204 G210 G216 G222">
    <cfRule type="duplicateValues" dxfId="425" priority="479" stopIfTrue="1"/>
  </conditionalFormatting>
  <conditionalFormatting sqref="H174 H180 H186 H192 H198 H204 H210 H216 H222">
    <cfRule type="duplicateValues" dxfId="424" priority="477" stopIfTrue="1"/>
  </conditionalFormatting>
  <conditionalFormatting sqref="H174 H180 H186 H192 H198 H204 H210 H216 H222">
    <cfRule type="duplicateValues" dxfId="423" priority="475" stopIfTrue="1"/>
  </conditionalFormatting>
  <conditionalFormatting sqref="L174 L180 L186 L192 L198 L204 L210 L216 L222">
    <cfRule type="duplicateValues" dxfId="422" priority="473" stopIfTrue="1"/>
  </conditionalFormatting>
  <conditionalFormatting sqref="L174 L180 L186 L192 L198 L204 L210 L216 L222">
    <cfRule type="duplicateValues" dxfId="421" priority="471" stopIfTrue="1"/>
  </conditionalFormatting>
  <conditionalFormatting sqref="F172:F174 F178:F180 F184:F186 F190:F192 F196:F198 F202:F204 F208:F210 F214:F216 F220:F222">
    <cfRule type="duplicateValues" dxfId="420" priority="470" stopIfTrue="1"/>
  </conditionalFormatting>
  <conditionalFormatting sqref="K174 K180 K186 K192 K198 K204 K210 K216 K222">
    <cfRule type="duplicateValues" dxfId="419" priority="466" stopIfTrue="1"/>
  </conditionalFormatting>
  <conditionalFormatting sqref="K174 K180 K186 K192 K198 K204 K210 K216 K222">
    <cfRule type="duplicateValues" dxfId="418" priority="465" stopIfTrue="1"/>
  </conditionalFormatting>
  <conditionalFormatting sqref="G226">
    <cfRule type="duplicateValues" dxfId="417" priority="460" stopIfTrue="1"/>
  </conditionalFormatting>
  <conditionalFormatting sqref="G226">
    <cfRule type="duplicateValues" dxfId="416" priority="459" stopIfTrue="1"/>
  </conditionalFormatting>
  <conditionalFormatting sqref="H227:H229">
    <cfRule type="duplicateValues" dxfId="415" priority="458" stopIfTrue="1"/>
  </conditionalFormatting>
  <conditionalFormatting sqref="H226">
    <cfRule type="duplicateValues" dxfId="414" priority="457" stopIfTrue="1"/>
  </conditionalFormatting>
  <conditionalFormatting sqref="H227:H229">
    <cfRule type="duplicateValues" dxfId="413" priority="456" stopIfTrue="1"/>
  </conditionalFormatting>
  <conditionalFormatting sqref="H226">
    <cfRule type="duplicateValues" dxfId="412" priority="455" stopIfTrue="1"/>
  </conditionalFormatting>
  <conditionalFormatting sqref="L227:L229">
    <cfRule type="duplicateValues" dxfId="411" priority="454" stopIfTrue="1"/>
  </conditionalFormatting>
  <conditionalFormatting sqref="L226">
    <cfRule type="duplicateValues" dxfId="410" priority="453" stopIfTrue="1"/>
  </conditionalFormatting>
  <conditionalFormatting sqref="L227:L229">
    <cfRule type="duplicateValues" dxfId="409" priority="452" stopIfTrue="1"/>
  </conditionalFormatting>
  <conditionalFormatting sqref="L226">
    <cfRule type="duplicateValues" dxfId="408" priority="451" stopIfTrue="1"/>
  </conditionalFormatting>
  <conditionalFormatting sqref="F224:F226">
    <cfRule type="duplicateValues" dxfId="407" priority="450" stopIfTrue="1"/>
  </conditionalFormatting>
  <conditionalFormatting sqref="G229">
    <cfRule type="duplicateValues" dxfId="406" priority="449" stopIfTrue="1"/>
  </conditionalFormatting>
  <conditionalFormatting sqref="G229">
    <cfRule type="duplicateValues" dxfId="405" priority="448" stopIfTrue="1"/>
  </conditionalFormatting>
  <conditionalFormatting sqref="F227:F229">
    <cfRule type="duplicateValues" dxfId="404" priority="447" stopIfTrue="1"/>
  </conditionalFormatting>
  <conditionalFormatting sqref="K226">
    <cfRule type="duplicateValues" dxfId="403" priority="446" stopIfTrue="1"/>
  </conditionalFormatting>
  <conditionalFormatting sqref="K226">
    <cfRule type="duplicateValues" dxfId="402" priority="445" stopIfTrue="1"/>
  </conditionalFormatting>
  <conditionalFormatting sqref="K229">
    <cfRule type="duplicateValues" dxfId="401" priority="443" stopIfTrue="1"/>
  </conditionalFormatting>
  <conditionalFormatting sqref="K229">
    <cfRule type="duplicateValues" dxfId="400" priority="442" stopIfTrue="1"/>
  </conditionalFormatting>
  <conditionalFormatting sqref="G232">
    <cfRule type="duplicateValues" dxfId="399" priority="440" stopIfTrue="1"/>
  </conditionalFormatting>
  <conditionalFormatting sqref="G232">
    <cfRule type="duplicateValues" dxfId="398" priority="439" stopIfTrue="1"/>
  </conditionalFormatting>
  <conditionalFormatting sqref="H233:H235">
    <cfRule type="duplicateValues" dxfId="397" priority="438" stopIfTrue="1"/>
  </conditionalFormatting>
  <conditionalFormatting sqref="H232">
    <cfRule type="duplicateValues" dxfId="396" priority="437" stopIfTrue="1"/>
  </conditionalFormatting>
  <conditionalFormatting sqref="H233:H235">
    <cfRule type="duplicateValues" dxfId="395" priority="436" stopIfTrue="1"/>
  </conditionalFormatting>
  <conditionalFormatting sqref="H232">
    <cfRule type="duplicateValues" dxfId="394" priority="435" stopIfTrue="1"/>
  </conditionalFormatting>
  <conditionalFormatting sqref="L233:L235">
    <cfRule type="duplicateValues" dxfId="393" priority="434" stopIfTrue="1"/>
  </conditionalFormatting>
  <conditionalFormatting sqref="L232">
    <cfRule type="duplicateValues" dxfId="392" priority="433" stopIfTrue="1"/>
  </conditionalFormatting>
  <conditionalFormatting sqref="L233:L235">
    <cfRule type="duplicateValues" dxfId="391" priority="432" stopIfTrue="1"/>
  </conditionalFormatting>
  <conditionalFormatting sqref="L232">
    <cfRule type="duplicateValues" dxfId="390" priority="431" stopIfTrue="1"/>
  </conditionalFormatting>
  <conditionalFormatting sqref="F230:F232">
    <cfRule type="duplicateValues" dxfId="389" priority="430" stopIfTrue="1"/>
  </conditionalFormatting>
  <conditionalFormatting sqref="G235">
    <cfRule type="duplicateValues" dxfId="388" priority="429" stopIfTrue="1"/>
  </conditionalFormatting>
  <conditionalFormatting sqref="G235">
    <cfRule type="duplicateValues" dxfId="387" priority="428" stopIfTrue="1"/>
  </conditionalFormatting>
  <conditionalFormatting sqref="F233:F235">
    <cfRule type="duplicateValues" dxfId="386" priority="427" stopIfTrue="1"/>
  </conditionalFormatting>
  <conditionalFormatting sqref="K232">
    <cfRule type="duplicateValues" dxfId="385" priority="426" stopIfTrue="1"/>
  </conditionalFormatting>
  <conditionalFormatting sqref="K232">
    <cfRule type="duplicateValues" dxfId="384" priority="425" stopIfTrue="1"/>
  </conditionalFormatting>
  <conditionalFormatting sqref="K235">
    <cfRule type="duplicateValues" dxfId="383" priority="423" stopIfTrue="1"/>
  </conditionalFormatting>
  <conditionalFormatting sqref="K235">
    <cfRule type="duplicateValues" dxfId="382" priority="422" stopIfTrue="1"/>
  </conditionalFormatting>
  <conditionalFormatting sqref="G238">
    <cfRule type="duplicateValues" dxfId="381" priority="420" stopIfTrue="1"/>
  </conditionalFormatting>
  <conditionalFormatting sqref="G238">
    <cfRule type="duplicateValues" dxfId="380" priority="419" stopIfTrue="1"/>
  </conditionalFormatting>
  <conditionalFormatting sqref="H239:H241">
    <cfRule type="duplicateValues" dxfId="379" priority="418" stopIfTrue="1"/>
  </conditionalFormatting>
  <conditionalFormatting sqref="H238">
    <cfRule type="duplicateValues" dxfId="378" priority="417" stopIfTrue="1"/>
  </conditionalFormatting>
  <conditionalFormatting sqref="H239:H241">
    <cfRule type="duplicateValues" dxfId="377" priority="416" stopIfTrue="1"/>
  </conditionalFormatting>
  <conditionalFormatting sqref="H238">
    <cfRule type="duplicateValues" dxfId="376" priority="415" stopIfTrue="1"/>
  </conditionalFormatting>
  <conditionalFormatting sqref="L239:L241">
    <cfRule type="duplicateValues" dxfId="375" priority="414" stopIfTrue="1"/>
  </conditionalFormatting>
  <conditionalFormatting sqref="L238">
    <cfRule type="duplicateValues" dxfId="374" priority="413" stopIfTrue="1"/>
  </conditionalFormatting>
  <conditionalFormatting sqref="L239:L241">
    <cfRule type="duplicateValues" dxfId="373" priority="412" stopIfTrue="1"/>
  </conditionalFormatting>
  <conditionalFormatting sqref="L238">
    <cfRule type="duplicateValues" dxfId="372" priority="411" stopIfTrue="1"/>
  </conditionalFormatting>
  <conditionalFormatting sqref="F236:F238">
    <cfRule type="duplicateValues" dxfId="371" priority="410" stopIfTrue="1"/>
  </conditionalFormatting>
  <conditionalFormatting sqref="G241">
    <cfRule type="duplicateValues" dxfId="370" priority="409" stopIfTrue="1"/>
  </conditionalFormatting>
  <conditionalFormatting sqref="G241">
    <cfRule type="duplicateValues" dxfId="369" priority="408" stopIfTrue="1"/>
  </conditionalFormatting>
  <conditionalFormatting sqref="F239:F241">
    <cfRule type="duplicateValues" dxfId="368" priority="407" stopIfTrue="1"/>
  </conditionalFormatting>
  <conditionalFormatting sqref="K238">
    <cfRule type="duplicateValues" dxfId="367" priority="406" stopIfTrue="1"/>
  </conditionalFormatting>
  <conditionalFormatting sqref="K238">
    <cfRule type="duplicateValues" dxfId="366" priority="405" stopIfTrue="1"/>
  </conditionalFormatting>
  <conditionalFormatting sqref="K241">
    <cfRule type="duplicateValues" dxfId="365" priority="403" stopIfTrue="1"/>
  </conditionalFormatting>
  <conditionalFormatting sqref="K241">
    <cfRule type="duplicateValues" dxfId="364" priority="402" stopIfTrue="1"/>
  </conditionalFormatting>
  <conditionalFormatting sqref="G244">
    <cfRule type="duplicateValues" dxfId="363" priority="400" stopIfTrue="1"/>
  </conditionalFormatting>
  <conditionalFormatting sqref="G244">
    <cfRule type="duplicateValues" dxfId="362" priority="399" stopIfTrue="1"/>
  </conditionalFormatting>
  <conditionalFormatting sqref="H245:H247">
    <cfRule type="duplicateValues" dxfId="361" priority="398" stopIfTrue="1"/>
  </conditionalFormatting>
  <conditionalFormatting sqref="H244">
    <cfRule type="duplicateValues" dxfId="360" priority="397" stopIfTrue="1"/>
  </conditionalFormatting>
  <conditionalFormatting sqref="H245:H247">
    <cfRule type="duplicateValues" dxfId="359" priority="396" stopIfTrue="1"/>
  </conditionalFormatting>
  <conditionalFormatting sqref="H244">
    <cfRule type="duplicateValues" dxfId="358" priority="395" stopIfTrue="1"/>
  </conditionalFormatting>
  <conditionalFormatting sqref="L245:L247">
    <cfRule type="duplicateValues" dxfId="357" priority="394" stopIfTrue="1"/>
  </conditionalFormatting>
  <conditionalFormatting sqref="L244">
    <cfRule type="duplicateValues" dxfId="356" priority="393" stopIfTrue="1"/>
  </conditionalFormatting>
  <conditionalFormatting sqref="L245:L247">
    <cfRule type="duplicateValues" dxfId="355" priority="392" stopIfTrue="1"/>
  </conditionalFormatting>
  <conditionalFormatting sqref="L244">
    <cfRule type="duplicateValues" dxfId="354" priority="391" stopIfTrue="1"/>
  </conditionalFormatting>
  <conditionalFormatting sqref="F242:F244">
    <cfRule type="duplicateValues" dxfId="353" priority="390" stopIfTrue="1"/>
  </conditionalFormatting>
  <conditionalFormatting sqref="G247">
    <cfRule type="duplicateValues" dxfId="352" priority="389" stopIfTrue="1"/>
  </conditionalFormatting>
  <conditionalFormatting sqref="G247">
    <cfRule type="duplicateValues" dxfId="351" priority="388" stopIfTrue="1"/>
  </conditionalFormatting>
  <conditionalFormatting sqref="F245:F247">
    <cfRule type="duplicateValues" dxfId="350" priority="387" stopIfTrue="1"/>
  </conditionalFormatting>
  <conditionalFormatting sqref="K244">
    <cfRule type="duplicateValues" dxfId="349" priority="386" stopIfTrue="1"/>
  </conditionalFormatting>
  <conditionalFormatting sqref="K244">
    <cfRule type="duplicateValues" dxfId="348" priority="385" stopIfTrue="1"/>
  </conditionalFormatting>
  <conditionalFormatting sqref="K247">
    <cfRule type="duplicateValues" dxfId="347" priority="383" stopIfTrue="1"/>
  </conditionalFormatting>
  <conditionalFormatting sqref="K247">
    <cfRule type="duplicateValues" dxfId="346" priority="382" stopIfTrue="1"/>
  </conditionalFormatting>
  <conditionalFormatting sqref="G250">
    <cfRule type="duplicateValues" dxfId="345" priority="380" stopIfTrue="1"/>
  </conditionalFormatting>
  <conditionalFormatting sqref="G250">
    <cfRule type="duplicateValues" dxfId="344" priority="379" stopIfTrue="1"/>
  </conditionalFormatting>
  <conditionalFormatting sqref="H251:H253">
    <cfRule type="duplicateValues" dxfId="343" priority="378" stopIfTrue="1"/>
  </conditionalFormatting>
  <conditionalFormatting sqref="H250">
    <cfRule type="duplicateValues" dxfId="342" priority="377" stopIfTrue="1"/>
  </conditionalFormatting>
  <conditionalFormatting sqref="H251:H253">
    <cfRule type="duplicateValues" dxfId="341" priority="376" stopIfTrue="1"/>
  </conditionalFormatting>
  <conditionalFormatting sqref="H250">
    <cfRule type="duplicateValues" dxfId="340" priority="375" stopIfTrue="1"/>
  </conditionalFormatting>
  <conditionalFormatting sqref="L251:L253">
    <cfRule type="duplicateValues" dxfId="339" priority="374" stopIfTrue="1"/>
  </conditionalFormatting>
  <conditionalFormatting sqref="L250">
    <cfRule type="duplicateValues" dxfId="338" priority="373" stopIfTrue="1"/>
  </conditionalFormatting>
  <conditionalFormatting sqref="L251:L253">
    <cfRule type="duplicateValues" dxfId="337" priority="372" stopIfTrue="1"/>
  </conditionalFormatting>
  <conditionalFormatting sqref="L250">
    <cfRule type="duplicateValues" dxfId="336" priority="371" stopIfTrue="1"/>
  </conditionalFormatting>
  <conditionalFormatting sqref="F248:F250">
    <cfRule type="duplicateValues" dxfId="335" priority="370" stopIfTrue="1"/>
  </conditionalFormatting>
  <conditionalFormatting sqref="G253">
    <cfRule type="duplicateValues" dxfId="334" priority="369" stopIfTrue="1"/>
  </conditionalFormatting>
  <conditionalFormatting sqref="G253">
    <cfRule type="duplicateValues" dxfId="333" priority="368" stopIfTrue="1"/>
  </conditionalFormatting>
  <conditionalFormatting sqref="F251:F253">
    <cfRule type="duplicateValues" dxfId="332" priority="367" stopIfTrue="1"/>
  </conditionalFormatting>
  <conditionalFormatting sqref="K250">
    <cfRule type="duplicateValues" dxfId="331" priority="366" stopIfTrue="1"/>
  </conditionalFormatting>
  <conditionalFormatting sqref="K250">
    <cfRule type="duplicateValues" dxfId="330" priority="365" stopIfTrue="1"/>
  </conditionalFormatting>
  <conditionalFormatting sqref="K253">
    <cfRule type="duplicateValues" dxfId="329" priority="363" stopIfTrue="1"/>
  </conditionalFormatting>
  <conditionalFormatting sqref="K253">
    <cfRule type="duplicateValues" dxfId="328" priority="362" stopIfTrue="1"/>
  </conditionalFormatting>
  <conditionalFormatting sqref="G256">
    <cfRule type="duplicateValues" dxfId="327" priority="360" stopIfTrue="1"/>
  </conditionalFormatting>
  <conditionalFormatting sqref="G256">
    <cfRule type="duplicateValues" dxfId="326" priority="359" stopIfTrue="1"/>
  </conditionalFormatting>
  <conditionalFormatting sqref="H257:H259">
    <cfRule type="duplicateValues" dxfId="325" priority="358" stopIfTrue="1"/>
  </conditionalFormatting>
  <conditionalFormatting sqref="H256">
    <cfRule type="duplicateValues" dxfId="324" priority="357" stopIfTrue="1"/>
  </conditionalFormatting>
  <conditionalFormatting sqref="H257:H259">
    <cfRule type="duplicateValues" dxfId="323" priority="356" stopIfTrue="1"/>
  </conditionalFormatting>
  <conditionalFormatting sqref="H256">
    <cfRule type="duplicateValues" dxfId="322" priority="355" stopIfTrue="1"/>
  </conditionalFormatting>
  <conditionalFormatting sqref="L257:L259">
    <cfRule type="duplicateValues" dxfId="321" priority="354" stopIfTrue="1"/>
  </conditionalFormatting>
  <conditionalFormatting sqref="L256">
    <cfRule type="duplicateValues" dxfId="320" priority="353" stopIfTrue="1"/>
  </conditionalFormatting>
  <conditionalFormatting sqref="L257:L259">
    <cfRule type="duplicateValues" dxfId="319" priority="352" stopIfTrue="1"/>
  </conditionalFormatting>
  <conditionalFormatting sqref="L256">
    <cfRule type="duplicateValues" dxfId="318" priority="351" stopIfTrue="1"/>
  </conditionalFormatting>
  <conditionalFormatting sqref="F254:F256">
    <cfRule type="duplicateValues" dxfId="317" priority="350" stopIfTrue="1"/>
  </conditionalFormatting>
  <conditionalFormatting sqref="G259">
    <cfRule type="duplicateValues" dxfId="316" priority="349" stopIfTrue="1"/>
  </conditionalFormatting>
  <conditionalFormatting sqref="G259">
    <cfRule type="duplicateValues" dxfId="315" priority="348" stopIfTrue="1"/>
  </conditionalFormatting>
  <conditionalFormatting sqref="F257:F259">
    <cfRule type="duplicateValues" dxfId="314" priority="347" stopIfTrue="1"/>
  </conditionalFormatting>
  <conditionalFormatting sqref="K256">
    <cfRule type="duplicateValues" dxfId="313" priority="346" stopIfTrue="1"/>
  </conditionalFormatting>
  <conditionalFormatting sqref="K256">
    <cfRule type="duplicateValues" dxfId="312" priority="345" stopIfTrue="1"/>
  </conditionalFormatting>
  <conditionalFormatting sqref="K259">
    <cfRule type="duplicateValues" dxfId="311" priority="343" stopIfTrue="1"/>
  </conditionalFormatting>
  <conditionalFormatting sqref="K259">
    <cfRule type="duplicateValues" dxfId="310" priority="342" stopIfTrue="1"/>
  </conditionalFormatting>
  <conditionalFormatting sqref="G262">
    <cfRule type="duplicateValues" dxfId="309" priority="340" stopIfTrue="1"/>
  </conditionalFormatting>
  <conditionalFormatting sqref="G262">
    <cfRule type="duplicateValues" dxfId="308" priority="339" stopIfTrue="1"/>
  </conditionalFormatting>
  <conditionalFormatting sqref="H263:H265">
    <cfRule type="duplicateValues" dxfId="307" priority="338" stopIfTrue="1"/>
  </conditionalFormatting>
  <conditionalFormatting sqref="H262">
    <cfRule type="duplicateValues" dxfId="306" priority="337" stopIfTrue="1"/>
  </conditionalFormatting>
  <conditionalFormatting sqref="H263:H265">
    <cfRule type="duplicateValues" dxfId="305" priority="336" stopIfTrue="1"/>
  </conditionalFormatting>
  <conditionalFormatting sqref="H262">
    <cfRule type="duplicateValues" dxfId="304" priority="335" stopIfTrue="1"/>
  </conditionalFormatting>
  <conditionalFormatting sqref="L263:L265">
    <cfRule type="duplicateValues" dxfId="303" priority="334" stopIfTrue="1"/>
  </conditionalFormatting>
  <conditionalFormatting sqref="L262">
    <cfRule type="duplicateValues" dxfId="302" priority="333" stopIfTrue="1"/>
  </conditionalFormatting>
  <conditionalFormatting sqref="L263:L265">
    <cfRule type="duplicateValues" dxfId="301" priority="332" stopIfTrue="1"/>
  </conditionalFormatting>
  <conditionalFormatting sqref="L262">
    <cfRule type="duplicateValues" dxfId="300" priority="331" stopIfTrue="1"/>
  </conditionalFormatting>
  <conditionalFormatting sqref="F260:F262">
    <cfRule type="duplicateValues" dxfId="299" priority="330" stopIfTrue="1"/>
  </conditionalFormatting>
  <conditionalFormatting sqref="G265">
    <cfRule type="duplicateValues" dxfId="298" priority="329" stopIfTrue="1"/>
  </conditionalFormatting>
  <conditionalFormatting sqref="G265">
    <cfRule type="duplicateValues" dxfId="297" priority="328" stopIfTrue="1"/>
  </conditionalFormatting>
  <conditionalFormatting sqref="F263:F265">
    <cfRule type="duplicateValues" dxfId="296" priority="327" stopIfTrue="1"/>
  </conditionalFormatting>
  <conditionalFormatting sqref="K262">
    <cfRule type="duplicateValues" dxfId="295" priority="326" stopIfTrue="1"/>
  </conditionalFormatting>
  <conditionalFormatting sqref="K262">
    <cfRule type="duplicateValues" dxfId="294" priority="325" stopIfTrue="1"/>
  </conditionalFormatting>
  <conditionalFormatting sqref="K265">
    <cfRule type="duplicateValues" dxfId="293" priority="323" stopIfTrue="1"/>
  </conditionalFormatting>
  <conditionalFormatting sqref="K265">
    <cfRule type="duplicateValues" dxfId="292" priority="322" stopIfTrue="1"/>
  </conditionalFormatting>
  <conditionalFormatting sqref="G268">
    <cfRule type="duplicateValues" dxfId="291" priority="320" stopIfTrue="1"/>
  </conditionalFormatting>
  <conditionalFormatting sqref="G268">
    <cfRule type="duplicateValues" dxfId="290" priority="319" stopIfTrue="1"/>
  </conditionalFormatting>
  <conditionalFormatting sqref="H269:H271">
    <cfRule type="duplicateValues" dxfId="289" priority="318" stopIfTrue="1"/>
  </conditionalFormatting>
  <conditionalFormatting sqref="H268">
    <cfRule type="duplicateValues" dxfId="288" priority="317" stopIfTrue="1"/>
  </conditionalFormatting>
  <conditionalFormatting sqref="H269:H271">
    <cfRule type="duplicateValues" dxfId="287" priority="316" stopIfTrue="1"/>
  </conditionalFormatting>
  <conditionalFormatting sqref="H268">
    <cfRule type="duplicateValues" dxfId="286" priority="315" stopIfTrue="1"/>
  </conditionalFormatting>
  <conditionalFormatting sqref="L269:L271">
    <cfRule type="duplicateValues" dxfId="285" priority="314" stopIfTrue="1"/>
  </conditionalFormatting>
  <conditionalFormatting sqref="L268">
    <cfRule type="duplicateValues" dxfId="284" priority="313" stopIfTrue="1"/>
  </conditionalFormatting>
  <conditionalFormatting sqref="L269:L271">
    <cfRule type="duplicateValues" dxfId="283" priority="312" stopIfTrue="1"/>
  </conditionalFormatting>
  <conditionalFormatting sqref="L268">
    <cfRule type="duplicateValues" dxfId="282" priority="311" stopIfTrue="1"/>
  </conditionalFormatting>
  <conditionalFormatting sqref="F266:F268">
    <cfRule type="duplicateValues" dxfId="281" priority="310" stopIfTrue="1"/>
  </conditionalFormatting>
  <conditionalFormatting sqref="G271">
    <cfRule type="duplicateValues" dxfId="280" priority="309" stopIfTrue="1"/>
  </conditionalFormatting>
  <conditionalFormatting sqref="G271">
    <cfRule type="duplicateValues" dxfId="279" priority="308" stopIfTrue="1"/>
  </conditionalFormatting>
  <conditionalFormatting sqref="F269:F271">
    <cfRule type="duplicateValues" dxfId="278" priority="307" stopIfTrue="1"/>
  </conditionalFormatting>
  <conditionalFormatting sqref="K268">
    <cfRule type="duplicateValues" dxfId="277" priority="306" stopIfTrue="1"/>
  </conditionalFormatting>
  <conditionalFormatting sqref="K268">
    <cfRule type="duplicateValues" dxfId="276" priority="305" stopIfTrue="1"/>
  </conditionalFormatting>
  <conditionalFormatting sqref="K271">
    <cfRule type="duplicateValues" dxfId="275" priority="303" stopIfTrue="1"/>
  </conditionalFormatting>
  <conditionalFormatting sqref="K271">
    <cfRule type="duplicateValues" dxfId="274" priority="302" stopIfTrue="1"/>
  </conditionalFormatting>
  <conditionalFormatting sqref="G274">
    <cfRule type="duplicateValues" dxfId="273" priority="300" stopIfTrue="1"/>
  </conditionalFormatting>
  <conditionalFormatting sqref="G274">
    <cfRule type="duplicateValues" dxfId="272" priority="299" stopIfTrue="1"/>
  </conditionalFormatting>
  <conditionalFormatting sqref="H275:H277">
    <cfRule type="duplicateValues" dxfId="271" priority="298" stopIfTrue="1"/>
  </conditionalFormatting>
  <conditionalFormatting sqref="H274">
    <cfRule type="duplicateValues" dxfId="270" priority="297" stopIfTrue="1"/>
  </conditionalFormatting>
  <conditionalFormatting sqref="H275:H277">
    <cfRule type="duplicateValues" dxfId="269" priority="296" stopIfTrue="1"/>
  </conditionalFormatting>
  <conditionalFormatting sqref="H274">
    <cfRule type="duplicateValues" dxfId="268" priority="295" stopIfTrue="1"/>
  </conditionalFormatting>
  <conditionalFormatting sqref="L275:L277">
    <cfRule type="duplicateValues" dxfId="267" priority="294" stopIfTrue="1"/>
  </conditionalFormatting>
  <conditionalFormatting sqref="L274">
    <cfRule type="duplicateValues" dxfId="266" priority="293" stopIfTrue="1"/>
  </conditionalFormatting>
  <conditionalFormatting sqref="L275:L277">
    <cfRule type="duplicateValues" dxfId="265" priority="292" stopIfTrue="1"/>
  </conditionalFormatting>
  <conditionalFormatting sqref="L274">
    <cfRule type="duplicateValues" dxfId="264" priority="291" stopIfTrue="1"/>
  </conditionalFormatting>
  <conditionalFormatting sqref="F272:F274">
    <cfRule type="duplicateValues" dxfId="263" priority="290" stopIfTrue="1"/>
  </conditionalFormatting>
  <conditionalFormatting sqref="G277">
    <cfRule type="duplicateValues" dxfId="262" priority="289" stopIfTrue="1"/>
  </conditionalFormatting>
  <conditionalFormatting sqref="G277">
    <cfRule type="duplicateValues" dxfId="261" priority="288" stopIfTrue="1"/>
  </conditionalFormatting>
  <conditionalFormatting sqref="F275:F277">
    <cfRule type="duplicateValues" dxfId="260" priority="287" stopIfTrue="1"/>
  </conditionalFormatting>
  <conditionalFormatting sqref="K274">
    <cfRule type="duplicateValues" dxfId="259" priority="286" stopIfTrue="1"/>
  </conditionalFormatting>
  <conditionalFormatting sqref="K274">
    <cfRule type="duplicateValues" dxfId="258" priority="285" stopIfTrue="1"/>
  </conditionalFormatting>
  <conditionalFormatting sqref="K277">
    <cfRule type="duplicateValues" dxfId="257" priority="283" stopIfTrue="1"/>
  </conditionalFormatting>
  <conditionalFormatting sqref="K277">
    <cfRule type="duplicateValues" dxfId="256" priority="282" stopIfTrue="1"/>
  </conditionalFormatting>
  <conditionalFormatting sqref="L280 L286 L292 L298 L304 L310 L316 L322 L328">
    <cfRule type="duplicateValues" dxfId="255" priority="273" stopIfTrue="1"/>
  </conditionalFormatting>
  <conditionalFormatting sqref="L280 L286 L292 L298 L304 L310 L316 L322 L328">
    <cfRule type="duplicateValues" dxfId="254" priority="271" stopIfTrue="1"/>
  </conditionalFormatting>
  <conditionalFormatting sqref="K280 K286 K292 K298 K304 K310 K316 K322 K328">
    <cfRule type="duplicateValues" dxfId="253" priority="266" stopIfTrue="1"/>
  </conditionalFormatting>
  <conditionalFormatting sqref="K280 K286 K292 K298 K304 K310 K316 K322 K328">
    <cfRule type="duplicateValues" dxfId="252" priority="265" stopIfTrue="1"/>
  </conditionalFormatting>
  <conditionalFormatting sqref="G332">
    <cfRule type="duplicateValues" dxfId="251" priority="260" stopIfTrue="1"/>
  </conditionalFormatting>
  <conditionalFormatting sqref="G332">
    <cfRule type="duplicateValues" dxfId="250" priority="259" stopIfTrue="1"/>
  </conditionalFormatting>
  <conditionalFormatting sqref="H333:H335">
    <cfRule type="duplicateValues" dxfId="249" priority="258" stopIfTrue="1"/>
  </conditionalFormatting>
  <conditionalFormatting sqref="H332">
    <cfRule type="duplicateValues" dxfId="248" priority="257" stopIfTrue="1"/>
  </conditionalFormatting>
  <conditionalFormatting sqref="H333:H335">
    <cfRule type="duplicateValues" dxfId="247" priority="256" stopIfTrue="1"/>
  </conditionalFormatting>
  <conditionalFormatting sqref="H332">
    <cfRule type="duplicateValues" dxfId="246" priority="255" stopIfTrue="1"/>
  </conditionalFormatting>
  <conditionalFormatting sqref="L333:L335">
    <cfRule type="duplicateValues" dxfId="245" priority="254" stopIfTrue="1"/>
  </conditionalFormatting>
  <conditionalFormatting sqref="L332">
    <cfRule type="duplicateValues" dxfId="244" priority="253" stopIfTrue="1"/>
  </conditionalFormatting>
  <conditionalFormatting sqref="L333:L335">
    <cfRule type="duplicateValues" dxfId="243" priority="252" stopIfTrue="1"/>
  </conditionalFormatting>
  <conditionalFormatting sqref="L332">
    <cfRule type="duplicateValues" dxfId="242" priority="251" stopIfTrue="1"/>
  </conditionalFormatting>
  <conditionalFormatting sqref="F330:F332">
    <cfRule type="duplicateValues" dxfId="241" priority="250" stopIfTrue="1"/>
  </conditionalFormatting>
  <conditionalFormatting sqref="G335">
    <cfRule type="duplicateValues" dxfId="240" priority="249" stopIfTrue="1"/>
  </conditionalFormatting>
  <conditionalFormatting sqref="G335">
    <cfRule type="duplicateValues" dxfId="239" priority="248" stopIfTrue="1"/>
  </conditionalFormatting>
  <conditionalFormatting sqref="F333:F335">
    <cfRule type="duplicateValues" dxfId="238" priority="247" stopIfTrue="1"/>
  </conditionalFormatting>
  <conditionalFormatting sqref="K332">
    <cfRule type="duplicateValues" dxfId="237" priority="246" stopIfTrue="1"/>
  </conditionalFormatting>
  <conditionalFormatting sqref="K332">
    <cfRule type="duplicateValues" dxfId="236" priority="245" stopIfTrue="1"/>
  </conditionalFormatting>
  <conditionalFormatting sqref="K335">
    <cfRule type="duplicateValues" dxfId="235" priority="243" stopIfTrue="1"/>
  </conditionalFormatting>
  <conditionalFormatting sqref="K335">
    <cfRule type="duplicateValues" dxfId="234" priority="242" stopIfTrue="1"/>
  </conditionalFormatting>
  <conditionalFormatting sqref="G338">
    <cfRule type="duplicateValues" dxfId="233" priority="240" stopIfTrue="1"/>
  </conditionalFormatting>
  <conditionalFormatting sqref="G338">
    <cfRule type="duplicateValues" dxfId="232" priority="239" stopIfTrue="1"/>
  </conditionalFormatting>
  <conditionalFormatting sqref="H339:H341">
    <cfRule type="duplicateValues" dxfId="231" priority="238" stopIfTrue="1"/>
  </conditionalFormatting>
  <conditionalFormatting sqref="H338">
    <cfRule type="duplicateValues" dxfId="230" priority="237" stopIfTrue="1"/>
  </conditionalFormatting>
  <conditionalFormatting sqref="H339:H341">
    <cfRule type="duplicateValues" dxfId="229" priority="236" stopIfTrue="1"/>
  </conditionalFormatting>
  <conditionalFormatting sqref="H338">
    <cfRule type="duplicateValues" dxfId="228" priority="235" stopIfTrue="1"/>
  </conditionalFormatting>
  <conditionalFormatting sqref="L339:L341">
    <cfRule type="duplicateValues" dxfId="227" priority="234" stopIfTrue="1"/>
  </conditionalFormatting>
  <conditionalFormatting sqref="L338">
    <cfRule type="duplicateValues" dxfId="226" priority="233" stopIfTrue="1"/>
  </conditionalFormatting>
  <conditionalFormatting sqref="L339:L341">
    <cfRule type="duplicateValues" dxfId="225" priority="232" stopIfTrue="1"/>
  </conditionalFormatting>
  <conditionalFormatting sqref="L338">
    <cfRule type="duplicateValues" dxfId="224" priority="231" stopIfTrue="1"/>
  </conditionalFormatting>
  <conditionalFormatting sqref="F336:F338">
    <cfRule type="duplicateValues" dxfId="223" priority="230" stopIfTrue="1"/>
  </conditionalFormatting>
  <conditionalFormatting sqref="G341">
    <cfRule type="duplicateValues" dxfId="222" priority="229" stopIfTrue="1"/>
  </conditionalFormatting>
  <conditionalFormatting sqref="G341">
    <cfRule type="duplicateValues" dxfId="221" priority="228" stopIfTrue="1"/>
  </conditionalFormatting>
  <conditionalFormatting sqref="F339:F341">
    <cfRule type="duplicateValues" dxfId="220" priority="227" stopIfTrue="1"/>
  </conditionalFormatting>
  <conditionalFormatting sqref="K338">
    <cfRule type="duplicateValues" dxfId="219" priority="226" stopIfTrue="1"/>
  </conditionalFormatting>
  <conditionalFormatting sqref="K338">
    <cfRule type="duplicateValues" dxfId="218" priority="225" stopIfTrue="1"/>
  </conditionalFormatting>
  <conditionalFormatting sqref="K341">
    <cfRule type="duplicateValues" dxfId="217" priority="223" stopIfTrue="1"/>
  </conditionalFormatting>
  <conditionalFormatting sqref="K341">
    <cfRule type="duplicateValues" dxfId="216" priority="222" stopIfTrue="1"/>
  </conditionalFormatting>
  <conditionalFormatting sqref="G344">
    <cfRule type="duplicateValues" dxfId="215" priority="220" stopIfTrue="1"/>
  </conditionalFormatting>
  <conditionalFormatting sqref="G344">
    <cfRule type="duplicateValues" dxfId="214" priority="219" stopIfTrue="1"/>
  </conditionalFormatting>
  <conditionalFormatting sqref="H345:H347">
    <cfRule type="duplicateValues" dxfId="213" priority="218" stopIfTrue="1"/>
  </conditionalFormatting>
  <conditionalFormatting sqref="H344">
    <cfRule type="duplicateValues" dxfId="212" priority="217" stopIfTrue="1"/>
  </conditionalFormatting>
  <conditionalFormatting sqref="H345:H347">
    <cfRule type="duplicateValues" dxfId="211" priority="216" stopIfTrue="1"/>
  </conditionalFormatting>
  <conditionalFormatting sqref="H344">
    <cfRule type="duplicateValues" dxfId="210" priority="215" stopIfTrue="1"/>
  </conditionalFormatting>
  <conditionalFormatting sqref="L345:L347">
    <cfRule type="duplicateValues" dxfId="209" priority="214" stopIfTrue="1"/>
  </conditionalFormatting>
  <conditionalFormatting sqref="L344">
    <cfRule type="duplicateValues" dxfId="208" priority="213" stopIfTrue="1"/>
  </conditionalFormatting>
  <conditionalFormatting sqref="L345:L347">
    <cfRule type="duplicateValues" dxfId="207" priority="212" stopIfTrue="1"/>
  </conditionalFormatting>
  <conditionalFormatting sqref="L344">
    <cfRule type="duplicateValues" dxfId="206" priority="211" stopIfTrue="1"/>
  </conditionalFormatting>
  <conditionalFormatting sqref="F342:F344">
    <cfRule type="duplicateValues" dxfId="205" priority="210" stopIfTrue="1"/>
  </conditionalFormatting>
  <conditionalFormatting sqref="G347">
    <cfRule type="duplicateValues" dxfId="204" priority="209" stopIfTrue="1"/>
  </conditionalFormatting>
  <conditionalFormatting sqref="G347">
    <cfRule type="duplicateValues" dxfId="203" priority="208" stopIfTrue="1"/>
  </conditionalFormatting>
  <conditionalFormatting sqref="F345:F347">
    <cfRule type="duplicateValues" dxfId="202" priority="207" stopIfTrue="1"/>
  </conditionalFormatting>
  <conditionalFormatting sqref="K344">
    <cfRule type="duplicateValues" dxfId="201" priority="206" stopIfTrue="1"/>
  </conditionalFormatting>
  <conditionalFormatting sqref="K344">
    <cfRule type="duplicateValues" dxfId="200" priority="205" stopIfTrue="1"/>
  </conditionalFormatting>
  <conditionalFormatting sqref="K347">
    <cfRule type="duplicateValues" dxfId="199" priority="203" stopIfTrue="1"/>
  </conditionalFormatting>
  <conditionalFormatting sqref="K347">
    <cfRule type="duplicateValues" dxfId="198" priority="202" stopIfTrue="1"/>
  </conditionalFormatting>
  <conditionalFormatting sqref="G350">
    <cfRule type="duplicateValues" dxfId="197" priority="200" stopIfTrue="1"/>
  </conditionalFormatting>
  <conditionalFormatting sqref="G350">
    <cfRule type="duplicateValues" dxfId="196" priority="199" stopIfTrue="1"/>
  </conditionalFormatting>
  <conditionalFormatting sqref="H351:H353">
    <cfRule type="duplicateValues" dxfId="195" priority="198" stopIfTrue="1"/>
  </conditionalFormatting>
  <conditionalFormatting sqref="H350">
    <cfRule type="duplicateValues" dxfId="194" priority="197" stopIfTrue="1"/>
  </conditionalFormatting>
  <conditionalFormatting sqref="H351:H353">
    <cfRule type="duplicateValues" dxfId="193" priority="196" stopIfTrue="1"/>
  </conditionalFormatting>
  <conditionalFormatting sqref="H350">
    <cfRule type="duplicateValues" dxfId="192" priority="195" stopIfTrue="1"/>
  </conditionalFormatting>
  <conditionalFormatting sqref="L351:L353">
    <cfRule type="duplicateValues" dxfId="191" priority="194" stopIfTrue="1"/>
  </conditionalFormatting>
  <conditionalFormatting sqref="L350">
    <cfRule type="duplicateValues" dxfId="190" priority="193" stopIfTrue="1"/>
  </conditionalFormatting>
  <conditionalFormatting sqref="L351:L353">
    <cfRule type="duplicateValues" dxfId="189" priority="192" stopIfTrue="1"/>
  </conditionalFormatting>
  <conditionalFormatting sqref="L350">
    <cfRule type="duplicateValues" dxfId="188" priority="191" stopIfTrue="1"/>
  </conditionalFormatting>
  <conditionalFormatting sqref="F348:F350">
    <cfRule type="duplicateValues" dxfId="187" priority="190" stopIfTrue="1"/>
  </conditionalFormatting>
  <conditionalFormatting sqref="G353">
    <cfRule type="duplicateValues" dxfId="186" priority="189" stopIfTrue="1"/>
  </conditionalFormatting>
  <conditionalFormatting sqref="G353">
    <cfRule type="duplicateValues" dxfId="185" priority="188" stopIfTrue="1"/>
  </conditionalFormatting>
  <conditionalFormatting sqref="F351:F353">
    <cfRule type="duplicateValues" dxfId="184" priority="187" stopIfTrue="1"/>
  </conditionalFormatting>
  <conditionalFormatting sqref="K350">
    <cfRule type="duplicateValues" dxfId="183" priority="186" stopIfTrue="1"/>
  </conditionalFormatting>
  <conditionalFormatting sqref="K350">
    <cfRule type="duplicateValues" dxfId="182" priority="185" stopIfTrue="1"/>
  </conditionalFormatting>
  <conditionalFormatting sqref="K353">
    <cfRule type="duplicateValues" dxfId="181" priority="183" stopIfTrue="1"/>
  </conditionalFormatting>
  <conditionalFormatting sqref="K353">
    <cfRule type="duplicateValues" dxfId="180" priority="182" stopIfTrue="1"/>
  </conditionalFormatting>
  <conditionalFormatting sqref="G356">
    <cfRule type="duplicateValues" dxfId="179" priority="180" stopIfTrue="1"/>
  </conditionalFormatting>
  <conditionalFormatting sqref="G356">
    <cfRule type="duplicateValues" dxfId="178" priority="179" stopIfTrue="1"/>
  </conditionalFormatting>
  <conditionalFormatting sqref="H357:H359">
    <cfRule type="duplicateValues" dxfId="177" priority="178" stopIfTrue="1"/>
  </conditionalFormatting>
  <conditionalFormatting sqref="H356">
    <cfRule type="duplicateValues" dxfId="176" priority="177" stopIfTrue="1"/>
  </conditionalFormatting>
  <conditionalFormatting sqref="H357:H359">
    <cfRule type="duplicateValues" dxfId="175" priority="176" stopIfTrue="1"/>
  </conditionalFormatting>
  <conditionalFormatting sqref="H356">
    <cfRule type="duplicateValues" dxfId="174" priority="175" stopIfTrue="1"/>
  </conditionalFormatting>
  <conditionalFormatting sqref="L357:L359">
    <cfRule type="duplicateValues" dxfId="173" priority="174" stopIfTrue="1"/>
  </conditionalFormatting>
  <conditionalFormatting sqref="L356">
    <cfRule type="duplicateValues" dxfId="172" priority="173" stopIfTrue="1"/>
  </conditionalFormatting>
  <conditionalFormatting sqref="L357:L359">
    <cfRule type="duplicateValues" dxfId="171" priority="172" stopIfTrue="1"/>
  </conditionalFormatting>
  <conditionalFormatting sqref="L356">
    <cfRule type="duplicateValues" dxfId="170" priority="171" stopIfTrue="1"/>
  </conditionalFormatting>
  <conditionalFormatting sqref="F354:F356">
    <cfRule type="duplicateValues" dxfId="169" priority="170" stopIfTrue="1"/>
  </conditionalFormatting>
  <conditionalFormatting sqref="G359">
    <cfRule type="duplicateValues" dxfId="168" priority="169" stopIfTrue="1"/>
  </conditionalFormatting>
  <conditionalFormatting sqref="G359">
    <cfRule type="duplicateValues" dxfId="167" priority="168" stopIfTrue="1"/>
  </conditionalFormatting>
  <conditionalFormatting sqref="F357:F359">
    <cfRule type="duplicateValues" dxfId="166" priority="167" stopIfTrue="1"/>
  </conditionalFormatting>
  <conditionalFormatting sqref="K356">
    <cfRule type="duplicateValues" dxfId="165" priority="166" stopIfTrue="1"/>
  </conditionalFormatting>
  <conditionalFormatting sqref="K356">
    <cfRule type="duplicateValues" dxfId="164" priority="165" stopIfTrue="1"/>
  </conditionalFormatting>
  <conditionalFormatting sqref="K359">
    <cfRule type="duplicateValues" dxfId="163" priority="163" stopIfTrue="1"/>
  </conditionalFormatting>
  <conditionalFormatting sqref="K359">
    <cfRule type="duplicateValues" dxfId="162" priority="162" stopIfTrue="1"/>
  </conditionalFormatting>
  <conditionalFormatting sqref="G362">
    <cfRule type="duplicateValues" dxfId="161" priority="160" stopIfTrue="1"/>
  </conditionalFormatting>
  <conditionalFormatting sqref="G362">
    <cfRule type="duplicateValues" dxfId="160" priority="159" stopIfTrue="1"/>
  </conditionalFormatting>
  <conditionalFormatting sqref="H363:H365">
    <cfRule type="duplicateValues" dxfId="159" priority="158" stopIfTrue="1"/>
  </conditionalFormatting>
  <conditionalFormatting sqref="H362">
    <cfRule type="duplicateValues" dxfId="158" priority="157" stopIfTrue="1"/>
  </conditionalFormatting>
  <conditionalFormatting sqref="H363:H365">
    <cfRule type="duplicateValues" dxfId="157" priority="156" stopIfTrue="1"/>
  </conditionalFormatting>
  <conditionalFormatting sqref="H362">
    <cfRule type="duplicateValues" dxfId="156" priority="155" stopIfTrue="1"/>
  </conditionalFormatting>
  <conditionalFormatting sqref="L363:L365">
    <cfRule type="duplicateValues" dxfId="155" priority="154" stopIfTrue="1"/>
  </conditionalFormatting>
  <conditionalFormatting sqref="L362">
    <cfRule type="duplicateValues" dxfId="154" priority="153" stopIfTrue="1"/>
  </conditionalFormatting>
  <conditionalFormatting sqref="L363:L365">
    <cfRule type="duplicateValues" dxfId="153" priority="152" stopIfTrue="1"/>
  </conditionalFormatting>
  <conditionalFormatting sqref="L362">
    <cfRule type="duplicateValues" dxfId="152" priority="151" stopIfTrue="1"/>
  </conditionalFormatting>
  <conditionalFormatting sqref="F360:F362">
    <cfRule type="duplicateValues" dxfId="151" priority="150" stopIfTrue="1"/>
  </conditionalFormatting>
  <conditionalFormatting sqref="G365">
    <cfRule type="duplicateValues" dxfId="150" priority="149" stopIfTrue="1"/>
  </conditionalFormatting>
  <conditionalFormatting sqref="G365">
    <cfRule type="duplicateValues" dxfId="149" priority="148" stopIfTrue="1"/>
  </conditionalFormatting>
  <conditionalFormatting sqref="F363:F365">
    <cfRule type="duplicateValues" dxfId="148" priority="147" stopIfTrue="1"/>
  </conditionalFormatting>
  <conditionalFormatting sqref="K362">
    <cfRule type="duplicateValues" dxfId="147" priority="146" stopIfTrue="1"/>
  </conditionalFormatting>
  <conditionalFormatting sqref="K362">
    <cfRule type="duplicateValues" dxfId="146" priority="145" stopIfTrue="1"/>
  </conditionalFormatting>
  <conditionalFormatting sqref="K365">
    <cfRule type="duplicateValues" dxfId="145" priority="143" stopIfTrue="1"/>
  </conditionalFormatting>
  <conditionalFormatting sqref="K365">
    <cfRule type="duplicateValues" dxfId="144" priority="142" stopIfTrue="1"/>
  </conditionalFormatting>
  <conditionalFormatting sqref="G368">
    <cfRule type="duplicateValues" dxfId="143" priority="140" stopIfTrue="1"/>
  </conditionalFormatting>
  <conditionalFormatting sqref="G368">
    <cfRule type="duplicateValues" dxfId="142" priority="139" stopIfTrue="1"/>
  </conditionalFormatting>
  <conditionalFormatting sqref="H369:H371">
    <cfRule type="duplicateValues" dxfId="141" priority="138" stopIfTrue="1"/>
  </conditionalFormatting>
  <conditionalFormatting sqref="H368">
    <cfRule type="duplicateValues" dxfId="140" priority="137" stopIfTrue="1"/>
  </conditionalFormatting>
  <conditionalFormatting sqref="H369:H371">
    <cfRule type="duplicateValues" dxfId="139" priority="136" stopIfTrue="1"/>
  </conditionalFormatting>
  <conditionalFormatting sqref="H368">
    <cfRule type="duplicateValues" dxfId="138" priority="135" stopIfTrue="1"/>
  </conditionalFormatting>
  <conditionalFormatting sqref="L369:L371">
    <cfRule type="duplicateValues" dxfId="137" priority="134" stopIfTrue="1"/>
  </conditionalFormatting>
  <conditionalFormatting sqref="L368">
    <cfRule type="duplicateValues" dxfId="136" priority="133" stopIfTrue="1"/>
  </conditionalFormatting>
  <conditionalFormatting sqref="L369:L371">
    <cfRule type="duplicateValues" dxfId="135" priority="132" stopIfTrue="1"/>
  </conditionalFormatting>
  <conditionalFormatting sqref="L368">
    <cfRule type="duplicateValues" dxfId="134" priority="131" stopIfTrue="1"/>
  </conditionalFormatting>
  <conditionalFormatting sqref="F366:F368">
    <cfRule type="duplicateValues" dxfId="133" priority="130" stopIfTrue="1"/>
  </conditionalFormatting>
  <conditionalFormatting sqref="G371">
    <cfRule type="duplicateValues" dxfId="132" priority="129" stopIfTrue="1"/>
  </conditionalFormatting>
  <conditionalFormatting sqref="G371">
    <cfRule type="duplicateValues" dxfId="131" priority="128" stopIfTrue="1"/>
  </conditionalFormatting>
  <conditionalFormatting sqref="F369:F371">
    <cfRule type="duplicateValues" dxfId="130" priority="127" stopIfTrue="1"/>
  </conditionalFormatting>
  <conditionalFormatting sqref="K368">
    <cfRule type="duplicateValues" dxfId="129" priority="126" stopIfTrue="1"/>
  </conditionalFormatting>
  <conditionalFormatting sqref="K368">
    <cfRule type="duplicateValues" dxfId="128" priority="125" stopIfTrue="1"/>
  </conditionalFormatting>
  <conditionalFormatting sqref="K371">
    <cfRule type="duplicateValues" dxfId="127" priority="123" stopIfTrue="1"/>
  </conditionalFormatting>
  <conditionalFormatting sqref="K371">
    <cfRule type="duplicateValues" dxfId="126" priority="122" stopIfTrue="1"/>
  </conditionalFormatting>
  <conditionalFormatting sqref="G374">
    <cfRule type="duplicateValues" dxfId="125" priority="120" stopIfTrue="1"/>
  </conditionalFormatting>
  <conditionalFormatting sqref="G374">
    <cfRule type="duplicateValues" dxfId="124" priority="119" stopIfTrue="1"/>
  </conditionalFormatting>
  <conditionalFormatting sqref="H375:H377">
    <cfRule type="duplicateValues" dxfId="123" priority="118" stopIfTrue="1"/>
  </conditionalFormatting>
  <conditionalFormatting sqref="H374">
    <cfRule type="duplicateValues" dxfId="122" priority="117" stopIfTrue="1"/>
  </conditionalFormatting>
  <conditionalFormatting sqref="H375:H377">
    <cfRule type="duplicateValues" dxfId="121" priority="116" stopIfTrue="1"/>
  </conditionalFormatting>
  <conditionalFormatting sqref="H374">
    <cfRule type="duplicateValues" dxfId="120" priority="115" stopIfTrue="1"/>
  </conditionalFormatting>
  <conditionalFormatting sqref="L375:L377">
    <cfRule type="duplicateValues" dxfId="119" priority="114" stopIfTrue="1"/>
  </conditionalFormatting>
  <conditionalFormatting sqref="L374">
    <cfRule type="duplicateValues" dxfId="118" priority="113" stopIfTrue="1"/>
  </conditionalFormatting>
  <conditionalFormatting sqref="L375:L377">
    <cfRule type="duplicateValues" dxfId="117" priority="112" stopIfTrue="1"/>
  </conditionalFormatting>
  <conditionalFormatting sqref="L374">
    <cfRule type="duplicateValues" dxfId="116" priority="111" stopIfTrue="1"/>
  </conditionalFormatting>
  <conditionalFormatting sqref="F372:F374">
    <cfRule type="duplicateValues" dxfId="115" priority="110" stopIfTrue="1"/>
  </conditionalFormatting>
  <conditionalFormatting sqref="G377">
    <cfRule type="duplicateValues" dxfId="114" priority="109" stopIfTrue="1"/>
  </conditionalFormatting>
  <conditionalFormatting sqref="G377">
    <cfRule type="duplicateValues" dxfId="113" priority="108" stopIfTrue="1"/>
  </conditionalFormatting>
  <conditionalFormatting sqref="F375:F377">
    <cfRule type="duplicateValues" dxfId="112" priority="107" stopIfTrue="1"/>
  </conditionalFormatting>
  <conditionalFormatting sqref="K374">
    <cfRule type="duplicateValues" dxfId="111" priority="106" stopIfTrue="1"/>
  </conditionalFormatting>
  <conditionalFormatting sqref="K374">
    <cfRule type="duplicateValues" dxfId="110" priority="105" stopIfTrue="1"/>
  </conditionalFormatting>
  <conditionalFormatting sqref="K377">
    <cfRule type="duplicateValues" dxfId="109" priority="103" stopIfTrue="1"/>
  </conditionalFormatting>
  <conditionalFormatting sqref="K377">
    <cfRule type="duplicateValues" dxfId="108" priority="102" stopIfTrue="1"/>
  </conditionalFormatting>
  <conditionalFormatting sqref="G380">
    <cfRule type="duplicateValues" dxfId="107" priority="100" stopIfTrue="1"/>
  </conditionalFormatting>
  <conditionalFormatting sqref="G380">
    <cfRule type="duplicateValues" dxfId="106" priority="99" stopIfTrue="1"/>
  </conditionalFormatting>
  <conditionalFormatting sqref="H381:H383">
    <cfRule type="duplicateValues" dxfId="105" priority="98" stopIfTrue="1"/>
  </conditionalFormatting>
  <conditionalFormatting sqref="H380">
    <cfRule type="duplicateValues" dxfId="104" priority="97" stopIfTrue="1"/>
  </conditionalFormatting>
  <conditionalFormatting sqref="H381:H383">
    <cfRule type="duplicateValues" dxfId="103" priority="96" stopIfTrue="1"/>
  </conditionalFormatting>
  <conditionalFormatting sqref="H380">
    <cfRule type="duplicateValues" dxfId="102" priority="95" stopIfTrue="1"/>
  </conditionalFormatting>
  <conditionalFormatting sqref="L381:L383">
    <cfRule type="duplicateValues" dxfId="101" priority="94" stopIfTrue="1"/>
  </conditionalFormatting>
  <conditionalFormatting sqref="L380">
    <cfRule type="duplicateValues" dxfId="100" priority="93" stopIfTrue="1"/>
  </conditionalFormatting>
  <conditionalFormatting sqref="L381:L383">
    <cfRule type="duplicateValues" dxfId="99" priority="92" stopIfTrue="1"/>
  </conditionalFormatting>
  <conditionalFormatting sqref="L380">
    <cfRule type="duplicateValues" dxfId="98" priority="91" stopIfTrue="1"/>
  </conditionalFormatting>
  <conditionalFormatting sqref="F378:F380">
    <cfRule type="duplicateValues" dxfId="97" priority="90" stopIfTrue="1"/>
  </conditionalFormatting>
  <conditionalFormatting sqref="G383">
    <cfRule type="duplicateValues" dxfId="96" priority="89" stopIfTrue="1"/>
  </conditionalFormatting>
  <conditionalFormatting sqref="G383">
    <cfRule type="duplicateValues" dxfId="95" priority="88" stopIfTrue="1"/>
  </conditionalFormatting>
  <conditionalFormatting sqref="F381:F383">
    <cfRule type="duplicateValues" dxfId="94" priority="87" stopIfTrue="1"/>
  </conditionalFormatting>
  <conditionalFormatting sqref="K380">
    <cfRule type="duplicateValues" dxfId="93" priority="86" stopIfTrue="1"/>
  </conditionalFormatting>
  <conditionalFormatting sqref="K380">
    <cfRule type="duplicateValues" dxfId="92" priority="85" stopIfTrue="1"/>
  </conditionalFormatting>
  <conditionalFormatting sqref="K383">
    <cfRule type="duplicateValues" dxfId="91" priority="83" stopIfTrue="1"/>
  </conditionalFormatting>
  <conditionalFormatting sqref="K383">
    <cfRule type="duplicateValues" dxfId="90" priority="82" stopIfTrue="1"/>
  </conditionalFormatting>
  <conditionalFormatting sqref="L387:L389 L393:L395 L399:L401 L405:L407 L411:L413 L417:L419 L423:L425 L429:L431">
    <cfRule type="duplicateValues" dxfId="89" priority="74" stopIfTrue="1"/>
  </conditionalFormatting>
  <conditionalFormatting sqref="L386 L392 L398 L404 L410 L416 L422 L428 L434">
    <cfRule type="duplicateValues" dxfId="88" priority="73" stopIfTrue="1"/>
  </conditionalFormatting>
  <conditionalFormatting sqref="L387:L389 L393:L395 L399:L401 L405:L407 L411:L413 L417:L419 L423:L425 L429:L431">
    <cfRule type="duplicateValues" dxfId="87" priority="72" stopIfTrue="1"/>
  </conditionalFormatting>
  <conditionalFormatting sqref="L386 L392 L398 L404 L410 L416 L422 L428 L434">
    <cfRule type="duplicateValues" dxfId="86" priority="71" stopIfTrue="1"/>
  </conditionalFormatting>
  <conditionalFormatting sqref="K386 K392 K398 K404 K410 K416 K422 K428 K434">
    <cfRule type="duplicateValues" dxfId="85" priority="66" stopIfTrue="1"/>
  </conditionalFormatting>
  <conditionalFormatting sqref="K386 K392 K398 K404 K410 K416 K422 K428 K434">
    <cfRule type="duplicateValues" dxfId="84" priority="65" stopIfTrue="1"/>
  </conditionalFormatting>
  <conditionalFormatting sqref="K389 K395 K401 K407 K413 K419 K425 K431">
    <cfRule type="duplicateValues" dxfId="83" priority="63" stopIfTrue="1"/>
  </conditionalFormatting>
  <conditionalFormatting sqref="K389 K395 K401 K407 K413 K419 K425 K431">
    <cfRule type="duplicateValues" dxfId="82" priority="62" stopIfTrue="1"/>
  </conditionalFormatting>
  <conditionalFormatting sqref="J118:J120">
    <cfRule type="duplicateValues" dxfId="81" priority="60" stopIfTrue="1"/>
  </conditionalFormatting>
  <conditionalFormatting sqref="J121:J123">
    <cfRule type="duplicateValues" dxfId="80" priority="59" stopIfTrue="1"/>
  </conditionalFormatting>
  <conditionalFormatting sqref="J124:J126">
    <cfRule type="duplicateValues" dxfId="79" priority="58" stopIfTrue="1"/>
  </conditionalFormatting>
  <conditionalFormatting sqref="J127:J129">
    <cfRule type="duplicateValues" dxfId="78" priority="57" stopIfTrue="1"/>
  </conditionalFormatting>
  <conditionalFormatting sqref="J130:J132">
    <cfRule type="duplicateValues" dxfId="77" priority="56" stopIfTrue="1"/>
  </conditionalFormatting>
  <conditionalFormatting sqref="J133:J135">
    <cfRule type="duplicateValues" dxfId="76" priority="55" stopIfTrue="1"/>
  </conditionalFormatting>
  <conditionalFormatting sqref="J136:J138">
    <cfRule type="duplicateValues" dxfId="75" priority="54" stopIfTrue="1"/>
  </conditionalFormatting>
  <conditionalFormatting sqref="J139:J141">
    <cfRule type="duplicateValues" dxfId="74" priority="53" stopIfTrue="1"/>
  </conditionalFormatting>
  <conditionalFormatting sqref="J142:J144">
    <cfRule type="duplicateValues" dxfId="73" priority="52" stopIfTrue="1"/>
  </conditionalFormatting>
  <conditionalFormatting sqref="J145:J147">
    <cfRule type="duplicateValues" dxfId="72" priority="51" stopIfTrue="1"/>
  </conditionalFormatting>
  <conditionalFormatting sqref="J148:J150">
    <cfRule type="duplicateValues" dxfId="71" priority="50" stopIfTrue="1"/>
  </conditionalFormatting>
  <conditionalFormatting sqref="J151:J153">
    <cfRule type="duplicateValues" dxfId="70" priority="49" stopIfTrue="1"/>
  </conditionalFormatting>
  <conditionalFormatting sqref="J154:J156">
    <cfRule type="duplicateValues" dxfId="69" priority="48" stopIfTrue="1"/>
  </conditionalFormatting>
  <conditionalFormatting sqref="J157:J159">
    <cfRule type="duplicateValues" dxfId="68" priority="47" stopIfTrue="1"/>
  </conditionalFormatting>
  <conditionalFormatting sqref="J160:J162">
    <cfRule type="duplicateValues" dxfId="67" priority="46" stopIfTrue="1"/>
  </conditionalFormatting>
  <conditionalFormatting sqref="J163:J165">
    <cfRule type="duplicateValues" dxfId="66" priority="45" stopIfTrue="1"/>
  </conditionalFormatting>
  <conditionalFormatting sqref="J166:J168">
    <cfRule type="duplicateValues" dxfId="65" priority="44" stopIfTrue="1"/>
  </conditionalFormatting>
  <conditionalFormatting sqref="J172:J174 J178:J180 J184:J186 J190:J192 J196:J198 J202:J204 J208:J210 J214:J216 J220:J222">
    <cfRule type="duplicateValues" dxfId="64" priority="42" stopIfTrue="1"/>
  </conditionalFormatting>
  <conditionalFormatting sqref="J224:J226">
    <cfRule type="duplicateValues" dxfId="63" priority="40" stopIfTrue="1"/>
  </conditionalFormatting>
  <conditionalFormatting sqref="J227:J229">
    <cfRule type="duplicateValues" dxfId="62" priority="39" stopIfTrue="1"/>
  </conditionalFormatting>
  <conditionalFormatting sqref="J230:J232">
    <cfRule type="duplicateValues" dxfId="61" priority="38" stopIfTrue="1"/>
  </conditionalFormatting>
  <conditionalFormatting sqref="J233:J235">
    <cfRule type="duplicateValues" dxfId="60" priority="37" stopIfTrue="1"/>
  </conditionalFormatting>
  <conditionalFormatting sqref="J236:J238">
    <cfRule type="duplicateValues" dxfId="59" priority="36" stopIfTrue="1"/>
  </conditionalFormatting>
  <conditionalFormatting sqref="J239:J241">
    <cfRule type="duplicateValues" dxfId="58" priority="35" stopIfTrue="1"/>
  </conditionalFormatting>
  <conditionalFormatting sqref="J242:J244">
    <cfRule type="duplicateValues" dxfId="57" priority="34" stopIfTrue="1"/>
  </conditionalFormatting>
  <conditionalFormatting sqref="J245:J247">
    <cfRule type="duplicateValues" dxfId="56" priority="33" stopIfTrue="1"/>
  </conditionalFormatting>
  <conditionalFormatting sqref="J248:J250">
    <cfRule type="duplicateValues" dxfId="55" priority="32" stopIfTrue="1"/>
  </conditionalFormatting>
  <conditionalFormatting sqref="J251:J253">
    <cfRule type="duplicateValues" dxfId="54" priority="31" stopIfTrue="1"/>
  </conditionalFormatting>
  <conditionalFormatting sqref="J254:J256">
    <cfRule type="duplicateValues" dxfId="53" priority="30" stopIfTrue="1"/>
  </conditionalFormatting>
  <conditionalFormatting sqref="J257:J259">
    <cfRule type="duplicateValues" dxfId="52" priority="29" stopIfTrue="1"/>
  </conditionalFormatting>
  <conditionalFormatting sqref="J260:J262">
    <cfRule type="duplicateValues" dxfId="51" priority="28" stopIfTrue="1"/>
  </conditionalFormatting>
  <conditionalFormatting sqref="J263:J265">
    <cfRule type="duplicateValues" dxfId="50" priority="27" stopIfTrue="1"/>
  </conditionalFormatting>
  <conditionalFormatting sqref="J266:J268">
    <cfRule type="duplicateValues" dxfId="49" priority="26" stopIfTrue="1"/>
  </conditionalFormatting>
  <conditionalFormatting sqref="J269:J271">
    <cfRule type="duplicateValues" dxfId="48" priority="25" stopIfTrue="1"/>
  </conditionalFormatting>
  <conditionalFormatting sqref="J272:J274">
    <cfRule type="duplicateValues" dxfId="47" priority="24" stopIfTrue="1"/>
  </conditionalFormatting>
  <conditionalFormatting sqref="J275:J277">
    <cfRule type="duplicateValues" dxfId="46" priority="23" stopIfTrue="1"/>
  </conditionalFormatting>
  <conditionalFormatting sqref="J330:J332">
    <cfRule type="duplicateValues" dxfId="45" priority="20" stopIfTrue="1"/>
  </conditionalFormatting>
  <conditionalFormatting sqref="J333:J335">
    <cfRule type="duplicateValues" dxfId="44" priority="19" stopIfTrue="1"/>
  </conditionalFormatting>
  <conditionalFormatting sqref="J336:J338">
    <cfRule type="duplicateValues" dxfId="43" priority="18" stopIfTrue="1"/>
  </conditionalFormatting>
  <conditionalFormatting sqref="J339:J341">
    <cfRule type="duplicateValues" dxfId="42" priority="17" stopIfTrue="1"/>
  </conditionalFormatting>
  <conditionalFormatting sqref="J342:J344">
    <cfRule type="duplicateValues" dxfId="41" priority="16" stopIfTrue="1"/>
  </conditionalFormatting>
  <conditionalFormatting sqref="J345:J347">
    <cfRule type="duplicateValues" dxfId="40" priority="15" stopIfTrue="1"/>
  </conditionalFormatting>
  <conditionalFormatting sqref="J348:J350">
    <cfRule type="duplicateValues" dxfId="39" priority="14" stopIfTrue="1"/>
  </conditionalFormatting>
  <conditionalFormatting sqref="J351:J353">
    <cfRule type="duplicateValues" dxfId="38" priority="13" stopIfTrue="1"/>
  </conditionalFormatting>
  <conditionalFormatting sqref="J354:J356">
    <cfRule type="duplicateValues" dxfId="37" priority="12" stopIfTrue="1"/>
  </conditionalFormatting>
  <conditionalFormatting sqref="J357:J359">
    <cfRule type="duplicateValues" dxfId="36" priority="11" stopIfTrue="1"/>
  </conditionalFormatting>
  <conditionalFormatting sqref="J360:J362">
    <cfRule type="duplicateValues" dxfId="35" priority="10" stopIfTrue="1"/>
  </conditionalFormatting>
  <conditionalFormatting sqref="J363:J365">
    <cfRule type="duplicateValues" dxfId="34" priority="9" stopIfTrue="1"/>
  </conditionalFormatting>
  <conditionalFormatting sqref="J366:J368">
    <cfRule type="duplicateValues" dxfId="33" priority="8" stopIfTrue="1"/>
  </conditionalFormatting>
  <conditionalFormatting sqref="J369:J371">
    <cfRule type="duplicateValues" dxfId="32" priority="7" stopIfTrue="1"/>
  </conditionalFormatting>
  <conditionalFormatting sqref="J372:J374">
    <cfRule type="duplicateValues" dxfId="31" priority="6" stopIfTrue="1"/>
  </conditionalFormatting>
  <conditionalFormatting sqref="J375:J377">
    <cfRule type="duplicateValues" dxfId="30" priority="5" stopIfTrue="1"/>
  </conditionalFormatting>
  <conditionalFormatting sqref="J378:J380">
    <cfRule type="duplicateValues" dxfId="29" priority="4" stopIfTrue="1"/>
  </conditionalFormatting>
  <conditionalFormatting sqref="J381:J383">
    <cfRule type="duplicateValues" dxfId="28" priority="3" stopIfTrue="1"/>
  </conditionalFormatting>
  <conditionalFormatting sqref="H69:H71 H75:H77 H81:H83 H87:H89 H93:H95 H99:H101 H105:H107 H111:H113">
    <cfRule type="duplicateValues" dxfId="27" priority="1864" stopIfTrue="1"/>
  </conditionalFormatting>
  <conditionalFormatting sqref="F69:F71 F75:F77 F81:F83 F87:F89 F93:F95 F99:F101 F105:F107 F111:F113">
    <cfRule type="duplicateValues" dxfId="26" priority="1882" stopIfTrue="1"/>
  </conditionalFormatting>
  <conditionalFormatting sqref="J69:J71 J75:J77 J81:J83 J87:J89 J93:J95 J99:J101 J105:J107 J111:J113">
    <cfRule type="duplicateValues" dxfId="25" priority="1892" stopIfTrue="1"/>
  </conditionalFormatting>
  <conditionalFormatting sqref="H169:H171 H175:H177 H181:H183 H187:H189 H193:H195 H199:H201 H205:H207 H211:H213 H217:H219">
    <cfRule type="duplicateValues" dxfId="24" priority="1893" stopIfTrue="1"/>
  </conditionalFormatting>
  <conditionalFormatting sqref="F169:F171 F175:F177 F181:F183 F187:F189 F193:F195 F199:F201 F205:F207 F211:F213 F217:F219">
    <cfRule type="duplicateValues" dxfId="23" priority="1911" stopIfTrue="1"/>
  </conditionalFormatting>
  <conditionalFormatting sqref="L175:L177 L181:L183 L187:L189 L193:L195 L199:L201 L205:L207 L211:L213 L217:L219">
    <cfRule type="duplicateValues" dxfId="22" priority="1920" stopIfTrue="1"/>
  </conditionalFormatting>
  <conditionalFormatting sqref="K177 K183 K189 K195 K201 K207 K213 K219">
    <cfRule type="duplicateValues" dxfId="21" priority="1922" stopIfTrue="1"/>
  </conditionalFormatting>
  <conditionalFormatting sqref="J169:J171 J175:J177 J181:J183 J187:J189 J193:J195 J199:J201 J205:J207 J211:J213 J217:J219">
    <cfRule type="duplicateValues" dxfId="20" priority="1924" stopIfTrue="1"/>
  </conditionalFormatting>
  <conditionalFormatting sqref="E280 E286 E292 E298 E304 E310 E316 E322 E328">
    <cfRule type="duplicateValues" dxfId="19" priority="1925" stopIfTrue="1"/>
  </conditionalFormatting>
  <conditionalFormatting sqref="G280 G286 G292 G298 G304 G310 G316 G322 G328">
    <cfRule type="duplicateValues" dxfId="18" priority="1934" stopIfTrue="1"/>
  </conditionalFormatting>
  <conditionalFormatting sqref="H281:H283 H287:H289 H293:H295 H299:H301 H305:H307 H311:H313 H317:H319 H323:H325">
    <cfRule type="duplicateValues" dxfId="17" priority="1952" stopIfTrue="1"/>
  </conditionalFormatting>
  <conditionalFormatting sqref="H280 H286 H292 H298 H304 H310 H316 H322 H328">
    <cfRule type="duplicateValues" dxfId="16" priority="1960" stopIfTrue="1"/>
  </conditionalFormatting>
  <conditionalFormatting sqref="L281:L283 L287:L289 L293:L295 L299:L301 L305:L307 L311:L313 L317:L319 L323:L325">
    <cfRule type="duplicateValues" dxfId="15" priority="1986" stopIfTrue="1"/>
  </conditionalFormatting>
  <conditionalFormatting sqref="F278:F280 F284:F286 F290:F292 F296:F298 F302:F304 F308:F310 F314:F316 F320:F322 F326:F328">
    <cfRule type="duplicateValues" dxfId="14" priority="1988" stopIfTrue="1"/>
  </conditionalFormatting>
  <conditionalFormatting sqref="G283 G289 G295 G301 G307 G313 G319 G325">
    <cfRule type="duplicateValues" dxfId="13" priority="1997" stopIfTrue="1"/>
  </conditionalFormatting>
  <conditionalFormatting sqref="F281:F283 F287:F289 F293:F295 F299:F301 F305:F307 F311:F313 F317:F319 F323:F325">
    <cfRule type="duplicateValues" dxfId="12" priority="2013" stopIfTrue="1"/>
  </conditionalFormatting>
  <conditionalFormatting sqref="K283 K289 K295 K301 K307 K313 K319 K325">
    <cfRule type="duplicateValues" dxfId="11" priority="2021" stopIfTrue="1"/>
  </conditionalFormatting>
  <conditionalFormatting sqref="J278:J280 J284:J286 J290:J292 J296:J298 J302:J304 J308:J310 J314:J316 J320:J322 J326:J328">
    <cfRule type="duplicateValues" dxfId="10" priority="2023" stopIfTrue="1"/>
  </conditionalFormatting>
  <conditionalFormatting sqref="J281:J283 J287:J289 J293:J295 J299:J301 J305:J307 J311:J313 J317:J319 J323:J325">
    <cfRule type="duplicateValues" dxfId="9" priority="2032" stopIfTrue="1"/>
  </conditionalFormatting>
  <conditionalFormatting sqref="E386 E392 E398 E404 E410 E416 E422 E428 E434">
    <cfRule type="duplicateValues" dxfId="8" priority="2033" stopIfTrue="1"/>
  </conditionalFormatting>
  <conditionalFormatting sqref="G386 G392 G398 G404 G410 G416 G422 G428 G434">
    <cfRule type="duplicateValues" dxfId="7" priority="2042" stopIfTrue="1"/>
  </conditionalFormatting>
  <conditionalFormatting sqref="H387:H389 H393:H395 H399:H401 H405:H407 H411:H413 H417:H419 H423:H425 H429:H431">
    <cfRule type="duplicateValues" dxfId="6" priority="2060" stopIfTrue="1"/>
  </conditionalFormatting>
  <conditionalFormatting sqref="H386 H392 H398 H404 H410 H416 H422 H428 H434">
    <cfRule type="duplicateValues" dxfId="5" priority="2068" stopIfTrue="1"/>
  </conditionalFormatting>
  <conditionalFormatting sqref="F384:F386 F390:F392 F396:F398 F402:F404 F408:F410 F414:F416 F420:F422 F426:F428 F432:F434">
    <cfRule type="duplicateValues" dxfId="4" priority="2094" stopIfTrue="1"/>
  </conditionalFormatting>
  <conditionalFormatting sqref="G389 G395 G401 G407 G413 G419 G425 G431">
    <cfRule type="duplicateValues" dxfId="3" priority="2103" stopIfTrue="1"/>
  </conditionalFormatting>
  <conditionalFormatting sqref="F387:F389 F393:F395 F399:F401 F405:F407 F411:F413 F417:F419 F423:F425 F429:F431">
    <cfRule type="duplicateValues" dxfId="2" priority="2119" stopIfTrue="1"/>
  </conditionalFormatting>
  <conditionalFormatting sqref="J384:J386 J390:J392 J396:J398 J402:J404 J408:J410 J414:J416 J420:J422 J426:J428 J432:J434">
    <cfRule type="duplicateValues" dxfId="1" priority="2127" stopIfTrue="1"/>
  </conditionalFormatting>
  <conditionalFormatting sqref="J387:J389 J393:J395 J399:J401 J405:J407 J411:J413 J417:J419 J423:J425 J429:J431">
    <cfRule type="duplicateValues" dxfId="0" priority="2136" stopIfTrue="1"/>
  </conditionalFormatting>
  <dataValidations count="5">
    <dataValidation type="list" allowBlank="1" showInputMessage="1" showErrorMessage="1" sqref="D281 D15 D278 D69 D381 D114 D263 D21 D251 D27 D121 D33 D227 D39 D127 D45 D224 D51 D133 D57 D12 D233 D18 D139 D24 D333 D30 D257 D36 D339 D42 D145 D48 D345 D54 D239 D63 D351 D151 D60 D269 D124 D357 D130 D157 D136 D363 D142 D245 D148 D369 D154 D163 D160 D375 D169 D330 D118 D166 D66 D230 D366 D236 D336 D242 D172 D248 D342 D254 D372 D260 D348 D266 D378 D275 D354 D360 D272 D387 D384 D75 D81 D87 D93 D99 D105 D111 D72 D78 D84 D90 D96 D102 D108 D175 D181 D187 D193 D199 D205 D211 D217 D178 D184 D190 D196 D202 D208 D214 D220 D287 D293 D299 D305 D311 D317 D323 D284 D290 D296 D302 D308 D314 D320 D326 D393 D399 D405 D411 D417 D423 D429 D390 D396 D402 D408 D414 D420 D426 D432" xr:uid="{00000000-0002-0000-0600-000000000000}">
      <formula1>$D$3:$D$4</formula1>
    </dataValidation>
    <dataValidation type="list" allowBlank="1" showInputMessage="1" showErrorMessage="1" sqref="K329 G117 G223 G329 K117 K223 F12:F434" xr:uid="{00000000-0002-0000-0600-000001000000}">
      <formula1>$F$3:$F$9</formula1>
    </dataValidation>
    <dataValidation type="list" allowBlank="1" showInputMessage="1" showErrorMessage="1" sqref="G224:G328 K12:K116 K118:K222 G330:G434 G12:G116 G118:G222 K330:K434 K224:K328" xr:uid="{00000000-0002-0000-0600-000002000000}">
      <formula1>$G$3:$G$4</formula1>
    </dataValidation>
    <dataValidation type="list" allowBlank="1" showInputMessage="1" showErrorMessage="1" sqref="J12:J434" xr:uid="{00000000-0002-0000-0600-000003000000}">
      <formula1>$J$3:$J$9</formula1>
    </dataValidation>
    <dataValidation type="list" allowBlank="1" showInputMessage="1" showErrorMessage="1" sqref="H12:H434 L12:L434" xr:uid="{00000000-0002-0000-0600-000004000000}">
      <formula1>$H$3:$H$5</formula1>
    </dataValidation>
  </dataValidation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65"/>
  <sheetViews>
    <sheetView showGridLines="0" workbookViewId="0">
      <selection activeCell="M35" sqref="M35"/>
    </sheetView>
  </sheetViews>
  <sheetFormatPr defaultColWidth="8.85546875" defaultRowHeight="12.75" x14ac:dyDescent="0.2"/>
  <cols>
    <col min="1" max="1" width="15.140625" style="120" customWidth="1"/>
    <col min="2" max="2" width="10.140625" style="4" customWidth="1"/>
    <col min="3" max="6" width="6.42578125" style="4" customWidth="1"/>
    <col min="7" max="7" width="7.42578125" style="4" customWidth="1"/>
    <col min="8" max="10" width="6.42578125" style="4" customWidth="1"/>
    <col min="11" max="12" width="5.7109375" style="4" customWidth="1"/>
    <col min="13" max="16384" width="8.85546875" style="4"/>
  </cols>
  <sheetData>
    <row r="1" spans="1:12" x14ac:dyDescent="0.2">
      <c r="A1" s="114" t="s">
        <v>287</v>
      </c>
    </row>
    <row r="2" spans="1:12" x14ac:dyDescent="0.2">
      <c r="A2" s="114"/>
    </row>
    <row r="3" spans="1:12" hidden="1" x14ac:dyDescent="0.2">
      <c r="A3" s="115" t="s">
        <v>286</v>
      </c>
      <c r="B3" s="287"/>
      <c r="C3" s="287" t="s">
        <v>87</v>
      </c>
      <c r="D3" s="287" t="s">
        <v>89</v>
      </c>
    </row>
    <row r="4" spans="1:12" hidden="1" x14ac:dyDescent="0.2">
      <c r="A4" s="116" t="s">
        <v>283</v>
      </c>
      <c r="B4" s="288"/>
      <c r="C4" s="288">
        <f>COUNTIF('Captains Info'!$D$12:$D$116,A4)</f>
        <v>0</v>
      </c>
      <c r="D4" s="288">
        <f>COUNTIF('Captains Info'!$D$118:$D$222,A4)</f>
        <v>0</v>
      </c>
    </row>
    <row r="5" spans="1:12" hidden="1" x14ac:dyDescent="0.2">
      <c r="A5" s="119" t="s">
        <v>282</v>
      </c>
      <c r="B5" s="289"/>
      <c r="C5" s="289">
        <f>COUNTIF('Captains Info'!$D$12:$D$116,A5)</f>
        <v>0</v>
      </c>
      <c r="D5" s="289">
        <f>COUNTIF('Captains Info'!$D$118:$D$222,A5)</f>
        <v>0</v>
      </c>
    </row>
    <row r="6" spans="1:12" hidden="1" x14ac:dyDescent="0.2">
      <c r="C6" s="71"/>
      <c r="D6" s="71"/>
      <c r="E6" s="71"/>
      <c r="F6" s="71"/>
      <c r="G6" s="71"/>
    </row>
    <row r="7" spans="1:12" hidden="1" x14ac:dyDescent="0.2">
      <c r="A7" s="115" t="s">
        <v>167</v>
      </c>
      <c r="B7" s="83"/>
      <c r="C7" s="85" t="s">
        <v>87</v>
      </c>
      <c r="D7" s="86" t="s">
        <v>89</v>
      </c>
      <c r="E7" s="86" t="s">
        <v>91</v>
      </c>
      <c r="F7" s="86" t="s">
        <v>90</v>
      </c>
      <c r="G7" s="102" t="s">
        <v>93</v>
      </c>
    </row>
    <row r="8" spans="1:12" hidden="1" x14ac:dyDescent="0.2">
      <c r="A8" s="116" t="s">
        <v>162</v>
      </c>
      <c r="B8" s="84"/>
      <c r="C8" s="87">
        <f>COUNTIF('Captains Info'!$D$12:$D$116,'Stats for Case Committee'!$A$8)</f>
        <v>0</v>
      </c>
      <c r="D8" s="88">
        <f>COUNTIF('Captains Info'!$D$118:$D$222,'Stats for Case Committee'!$A$8)</f>
        <v>0</v>
      </c>
      <c r="E8" s="88">
        <f>COUNTIF('Captains Info'!$D$224:$D$328,'Stats for Case Committee'!$A$8)</f>
        <v>0</v>
      </c>
      <c r="F8" s="88">
        <f>COUNTIF('Captains Info'!$D$330:$D$434,'Stats for Case Committee'!$A$8)</f>
        <v>0</v>
      </c>
      <c r="G8" s="103">
        <f>SUM(C8:F8)</f>
        <v>0</v>
      </c>
      <c r="J8" s="35"/>
      <c r="K8" s="35"/>
      <c r="L8" s="35"/>
    </row>
    <row r="9" spans="1:12" hidden="1" x14ac:dyDescent="0.2">
      <c r="A9" s="119" t="s">
        <v>77</v>
      </c>
      <c r="B9" s="106"/>
      <c r="C9" s="107">
        <f>COUNTIF('Captains Info'!$D$12:$D$116,'Stats for Case Committee'!$A$9)</f>
        <v>0</v>
      </c>
      <c r="D9" s="108">
        <f>COUNTIF('Captains Info'!$D$118:$D$222,'Stats for Case Committee'!$A$9)</f>
        <v>0</v>
      </c>
      <c r="E9" s="108">
        <f>COUNTIF('Captains Info'!$D$224:$D$328,'Stats for Case Committee'!$A$9)</f>
        <v>0</v>
      </c>
      <c r="F9" s="108">
        <f>COUNTIF('Captains Info'!$D$330:$D$434,'Stats for Case Committee'!$A$9)</f>
        <v>0</v>
      </c>
      <c r="G9" s="109">
        <f>SUM(C9:F9)</f>
        <v>0</v>
      </c>
    </row>
    <row r="10" spans="1:12" hidden="1" x14ac:dyDescent="0.2">
      <c r="C10" s="71"/>
      <c r="D10" s="71"/>
      <c r="E10" s="71"/>
      <c r="F10" s="71"/>
      <c r="G10" s="71"/>
    </row>
    <row r="11" spans="1:12" hidden="1" x14ac:dyDescent="0.2">
      <c r="A11" s="115" t="s">
        <v>74</v>
      </c>
      <c r="B11" s="83"/>
      <c r="C11" s="85" t="s">
        <v>87</v>
      </c>
      <c r="D11" s="86" t="s">
        <v>89</v>
      </c>
      <c r="E11" s="86" t="s">
        <v>91</v>
      </c>
      <c r="F11" s="86" t="s">
        <v>90</v>
      </c>
      <c r="G11" s="102" t="s">
        <v>93</v>
      </c>
    </row>
    <row r="12" spans="1:12" hidden="1" x14ac:dyDescent="0.2">
      <c r="A12" s="116" t="s">
        <v>163</v>
      </c>
      <c r="B12" s="84"/>
      <c r="C12" s="87">
        <f>COUNTIF('Captains Info'!$D$12:$D$116,1)</f>
        <v>0</v>
      </c>
      <c r="D12" s="88">
        <f>COUNTIF('Captains Info'!$D$118:$D$222,1)</f>
        <v>0</v>
      </c>
      <c r="E12" s="88">
        <f>COUNTIF('Captains Info'!$D$224:$D$328,1)</f>
        <v>0</v>
      </c>
      <c r="F12" s="88">
        <f>COUNTIF('Captains Info'!$D$330:$D$434,1)</f>
        <v>0</v>
      </c>
      <c r="G12" s="103">
        <f>SUM(C12:F12)</f>
        <v>0</v>
      </c>
    </row>
    <row r="13" spans="1:12" hidden="1" x14ac:dyDescent="0.2">
      <c r="A13" s="117" t="s">
        <v>164</v>
      </c>
      <c r="B13" s="82"/>
      <c r="C13" s="89">
        <f>COUNTIF('Captains Info'!$D$12:$D$116,2)</f>
        <v>0</v>
      </c>
      <c r="D13" s="90">
        <f>COUNTIF('Captains Info'!$D$118:$D$222,2)</f>
        <v>0</v>
      </c>
      <c r="E13" s="90">
        <f>COUNTIF('Captains Info'!$D$224:$D$328,2)</f>
        <v>0</v>
      </c>
      <c r="F13" s="90">
        <f>COUNTIF('Captains Info'!$D$330:$D$434,2)</f>
        <v>0</v>
      </c>
      <c r="G13" s="104">
        <f>SUM(C13:F13)</f>
        <v>0</v>
      </c>
    </row>
    <row r="14" spans="1:12" hidden="1" x14ac:dyDescent="0.2">
      <c r="A14" s="121" t="s">
        <v>165</v>
      </c>
      <c r="B14" s="110"/>
      <c r="C14" s="111">
        <f>COUNTIF('Captains Info'!$D$12:$D$116,3)</f>
        <v>0</v>
      </c>
      <c r="D14" s="112">
        <f>COUNTIF('Captains Info'!$D$118:$D$222,3)</f>
        <v>0</v>
      </c>
      <c r="E14" s="112">
        <f>COUNTIF('Captains Info'!$D$224:$D$328,3)</f>
        <v>0</v>
      </c>
      <c r="F14" s="112">
        <f>COUNTIF('Captains Info'!$D$330:$D$434,3)</f>
        <v>0</v>
      </c>
      <c r="G14" s="113">
        <f>SUM(C14:F14)</f>
        <v>0</v>
      </c>
    </row>
    <row r="15" spans="1:12" hidden="1" x14ac:dyDescent="0.2">
      <c r="C15" s="71"/>
      <c r="D15" s="71"/>
      <c r="E15" s="71"/>
      <c r="F15" s="71"/>
      <c r="G15" s="71"/>
    </row>
    <row r="16" spans="1:12" hidden="1" x14ac:dyDescent="0.2">
      <c r="A16" s="115" t="s">
        <v>166</v>
      </c>
      <c r="B16" s="83"/>
      <c r="C16" s="85" t="s">
        <v>87</v>
      </c>
      <c r="D16" s="86" t="s">
        <v>89</v>
      </c>
      <c r="E16" s="86" t="s">
        <v>91</v>
      </c>
      <c r="F16" s="86" t="s">
        <v>90</v>
      </c>
      <c r="G16" s="102" t="s">
        <v>93</v>
      </c>
      <c r="H16" s="35"/>
      <c r="I16" s="35"/>
      <c r="J16" s="35"/>
      <c r="K16" s="35"/>
      <c r="L16" s="35"/>
    </row>
    <row r="17" spans="1:13" hidden="1" x14ac:dyDescent="0.2">
      <c r="A17" s="116" t="str">
        <f>'Captains Info'!$D$9</f>
        <v>.</v>
      </c>
      <c r="B17" s="84"/>
      <c r="C17" s="87">
        <f>COUNTIF('Captains Info'!$D$12:$D$116,A17)</f>
        <v>0</v>
      </c>
      <c r="D17" s="88">
        <f>COUNTIF('Captains Info'!$D$118:$D$222,A17)</f>
        <v>0</v>
      </c>
      <c r="E17" s="88">
        <f>COUNTIF('Captains Info'!$D$224:$D$328,A17)</f>
        <v>0</v>
      </c>
      <c r="F17" s="88">
        <f>COUNTIF('Captains Info'!$D$330:$D$434,A17)</f>
        <v>0</v>
      </c>
      <c r="G17" s="103">
        <f>SUM(C17:F17)</f>
        <v>0</v>
      </c>
    </row>
    <row r="18" spans="1:13" hidden="1" x14ac:dyDescent="0.2">
      <c r="A18" s="117" t="str">
        <f>'Captains Info'!$D$10</f>
        <v>.</v>
      </c>
      <c r="B18" s="82"/>
      <c r="C18" s="89">
        <f>COUNTIF('Captains Info'!$D$12:$D$116,A18)</f>
        <v>0</v>
      </c>
      <c r="D18" s="90">
        <f>COUNTIF('Captains Info'!$D$118:$D$222,A18)</f>
        <v>0</v>
      </c>
      <c r="E18" s="90">
        <f>COUNTIF('Captains Info'!$D$224:$D$328,A18)</f>
        <v>0</v>
      </c>
      <c r="F18" s="90">
        <f>COUNTIF('Captains Info'!$D$330:$D$434,A18)</f>
        <v>0</v>
      </c>
      <c r="G18" s="104">
        <f>SUM(C18:F18)</f>
        <v>0</v>
      </c>
    </row>
    <row r="19" spans="1:13" hidden="1" x14ac:dyDescent="0.2">
      <c r="A19" s="121" t="str">
        <f>'Captains Info'!$D$8</f>
        <v>.</v>
      </c>
      <c r="B19" s="110"/>
      <c r="C19" s="111">
        <f>COUNTIF('Captains Info'!$D$12:$D$71,A19)</f>
        <v>0</v>
      </c>
      <c r="D19" s="112">
        <f>COUNTIF('Captains Info'!$D$118:$D$222,A19)</f>
        <v>0</v>
      </c>
      <c r="E19" s="112">
        <f>COUNTIF('Captains Info'!$D$224:$D$328,A19)</f>
        <v>0</v>
      </c>
      <c r="F19" s="112">
        <f>COUNTIF('Captains Info'!$D$330:$D$434,A19)</f>
        <v>0</v>
      </c>
      <c r="G19" s="113">
        <f>SUM(C19:F19)</f>
        <v>0</v>
      </c>
    </row>
    <row r="20" spans="1:13" hidden="1" x14ac:dyDescent="0.2"/>
    <row r="21" spans="1:13" hidden="1" x14ac:dyDescent="0.2"/>
    <row r="23" spans="1:13" x14ac:dyDescent="0.2">
      <c r="C23" s="458" t="s">
        <v>87</v>
      </c>
      <c r="D23" s="459"/>
      <c r="E23" s="458" t="s">
        <v>89</v>
      </c>
      <c r="F23" s="459"/>
      <c r="G23" s="458" t="s">
        <v>91</v>
      </c>
      <c r="H23" s="459"/>
      <c r="I23" s="458" t="s">
        <v>90</v>
      </c>
      <c r="J23" s="459"/>
    </row>
    <row r="24" spans="1:13" x14ac:dyDescent="0.2">
      <c r="A24" s="115" t="s">
        <v>168</v>
      </c>
      <c r="B24" s="83"/>
      <c r="C24" s="299" t="s">
        <v>33</v>
      </c>
      <c r="D24" s="299" t="s">
        <v>47</v>
      </c>
      <c r="E24" s="300" t="s">
        <v>33</v>
      </c>
      <c r="F24" s="300" t="s">
        <v>47</v>
      </c>
      <c r="G24" s="299" t="s">
        <v>33</v>
      </c>
      <c r="H24" s="299" t="s">
        <v>47</v>
      </c>
      <c r="I24" s="300" t="s">
        <v>33</v>
      </c>
      <c r="J24" s="300" t="s">
        <v>47</v>
      </c>
      <c r="K24" s="102" t="s">
        <v>171</v>
      </c>
      <c r="L24" s="102" t="s">
        <v>170</v>
      </c>
      <c r="M24" s="102" t="s">
        <v>93</v>
      </c>
    </row>
    <row r="25" spans="1:13" x14ac:dyDescent="0.2">
      <c r="A25" s="116" t="s">
        <v>307</v>
      </c>
      <c r="B25" s="84"/>
      <c r="C25" s="301">
        <f>COUNTIF('Captains Info'!$F$12:$F$116,A25)</f>
        <v>0</v>
      </c>
      <c r="D25" s="302" t="s">
        <v>169</v>
      </c>
      <c r="E25" s="301">
        <f>COUNTIF('Captains Info'!$F$118:$F$222,A25)</f>
        <v>0</v>
      </c>
      <c r="F25" s="302" t="s">
        <v>169</v>
      </c>
      <c r="G25" s="301">
        <f>COUNTIF('Captains Info'!$F$224:$F$328,A25)</f>
        <v>0</v>
      </c>
      <c r="H25" s="302" t="s">
        <v>169</v>
      </c>
      <c r="I25" s="88">
        <f>COUNTIF('Captains Info'!$F$330:$F$434,'Stats for Case Committee'!A25)</f>
        <v>0</v>
      </c>
      <c r="J25" s="88" t="s">
        <v>169</v>
      </c>
      <c r="K25" s="103">
        <f t="shared" ref="K25:K26" si="0">C25+E25+G25+I25</f>
        <v>0</v>
      </c>
      <c r="L25" s="103"/>
      <c r="M25" s="103">
        <f t="shared" ref="M25:M34" si="1">SUM(K25:L25)</f>
        <v>0</v>
      </c>
    </row>
    <row r="26" spans="1:13" x14ac:dyDescent="0.2">
      <c r="A26" s="117" t="s">
        <v>308</v>
      </c>
      <c r="B26" s="82"/>
      <c r="C26" s="89">
        <f>COUNTIF('Captains Info'!$F$12:$F$116,A26)</f>
        <v>0</v>
      </c>
      <c r="D26" s="303" t="s">
        <v>169</v>
      </c>
      <c r="E26" s="89">
        <f>COUNTIF('Captains Info'!$F$118:$F$222,A26)</f>
        <v>0</v>
      </c>
      <c r="F26" s="303" t="s">
        <v>169</v>
      </c>
      <c r="G26" s="89">
        <f>COUNTIF('Captains Info'!$F$224:$F$328,A26)</f>
        <v>0</v>
      </c>
      <c r="H26" s="303" t="s">
        <v>169</v>
      </c>
      <c r="I26" s="90">
        <f>COUNTIF('Captains Info'!$F$330:$F$434,'Stats for Case Committee'!A26)</f>
        <v>0</v>
      </c>
      <c r="J26" s="90" t="s">
        <v>169</v>
      </c>
      <c r="K26" s="104">
        <f t="shared" si="0"/>
        <v>0</v>
      </c>
      <c r="L26" s="104"/>
      <c r="M26" s="104">
        <f t="shared" si="1"/>
        <v>0</v>
      </c>
    </row>
    <row r="27" spans="1:13" x14ac:dyDescent="0.2">
      <c r="A27" s="118" t="s">
        <v>309</v>
      </c>
      <c r="B27" s="81"/>
      <c r="C27" s="91">
        <f>COUNTIF('Captains Info'!$F$12:$F$116,A27)</f>
        <v>0</v>
      </c>
      <c r="D27" s="304" t="s">
        <v>169</v>
      </c>
      <c r="E27" s="91">
        <f>COUNTIF('Captains Info'!$F$118:$F$222,A27)</f>
        <v>0</v>
      </c>
      <c r="F27" s="304" t="s">
        <v>169</v>
      </c>
      <c r="G27" s="91">
        <f>COUNTIF('Captains Info'!$F$224:$F$328,A27)</f>
        <v>0</v>
      </c>
      <c r="H27" s="304" t="s">
        <v>169</v>
      </c>
      <c r="I27" s="92">
        <f>COUNTIF('Captains Info'!$F$330:$F$434,'Stats for Case Committee'!A27)</f>
        <v>0</v>
      </c>
      <c r="J27" s="92" t="s">
        <v>169</v>
      </c>
      <c r="K27" s="105">
        <f t="shared" ref="K27" si="2">C27+E27+G27+I27</f>
        <v>0</v>
      </c>
      <c r="L27" s="105"/>
      <c r="M27" s="105">
        <f t="shared" si="1"/>
        <v>0</v>
      </c>
    </row>
    <row r="28" spans="1:13" x14ac:dyDescent="0.2">
      <c r="A28" s="117" t="s">
        <v>316</v>
      </c>
      <c r="B28" s="82"/>
      <c r="C28" s="89" t="s">
        <v>169</v>
      </c>
      <c r="D28" s="303">
        <f>COUNTIF('Captains Info'!$J$12:$J$116,A28)</f>
        <v>0</v>
      </c>
      <c r="E28" s="89" t="s">
        <v>169</v>
      </c>
      <c r="F28" s="303">
        <f>COUNTIF('Captains Info'!$J$118:$J$222,A28)</f>
        <v>0</v>
      </c>
      <c r="G28" s="89" t="s">
        <v>169</v>
      </c>
      <c r="H28" s="303">
        <f>COUNTIF('Captains Info'!$J$224:$J$328,A28)</f>
        <v>0</v>
      </c>
      <c r="I28" s="90" t="s">
        <v>169</v>
      </c>
      <c r="J28" s="90">
        <f>COUNTIF('Captains Info'!$J$330:$J$434,'Stats for Case Committee'!A28)</f>
        <v>0</v>
      </c>
      <c r="K28" s="104"/>
      <c r="L28" s="104">
        <f t="shared" ref="L28" si="3">D28+F28+H28+J28</f>
        <v>0</v>
      </c>
      <c r="M28" s="104">
        <f t="shared" si="1"/>
        <v>0</v>
      </c>
    </row>
    <row r="29" spans="1:13" x14ac:dyDescent="0.2">
      <c r="A29" s="118" t="s">
        <v>310</v>
      </c>
      <c r="B29" s="81"/>
      <c r="C29" s="91" t="s">
        <v>169</v>
      </c>
      <c r="D29" s="304">
        <f>COUNTIF('Captains Info'!$J$12:$J$116,A29)</f>
        <v>0</v>
      </c>
      <c r="E29" s="91" t="s">
        <v>169</v>
      </c>
      <c r="F29" s="304">
        <f>COUNTIF('Captains Info'!$J$118:$J$222,A29)</f>
        <v>0</v>
      </c>
      <c r="G29" s="91" t="s">
        <v>169</v>
      </c>
      <c r="H29" s="304">
        <f>COUNTIF('Captains Info'!$J$224:$J$328,A29)</f>
        <v>0</v>
      </c>
      <c r="I29" s="92" t="s">
        <v>169</v>
      </c>
      <c r="J29" s="92">
        <f>COUNTIF('Captains Info'!$J$330:$J$434,'Stats for Case Committee'!A29)</f>
        <v>0</v>
      </c>
      <c r="K29" s="105"/>
      <c r="L29" s="105">
        <f t="shared" ref="L29:L34" si="4">D29+F29+H29+J29</f>
        <v>0</v>
      </c>
      <c r="M29" s="105">
        <f t="shared" si="1"/>
        <v>0</v>
      </c>
    </row>
    <row r="30" spans="1:13" x14ac:dyDescent="0.2">
      <c r="A30" s="117" t="s">
        <v>311</v>
      </c>
      <c r="B30" s="82"/>
      <c r="C30" s="89" t="s">
        <v>169</v>
      </c>
      <c r="D30" s="303">
        <f>COUNTIF('Captains Info'!$J$12:$J$116,A30)</f>
        <v>0</v>
      </c>
      <c r="E30" s="89" t="s">
        <v>169</v>
      </c>
      <c r="F30" s="303">
        <f>COUNTIF('Captains Info'!$J$118:$J$222,A30)</f>
        <v>0</v>
      </c>
      <c r="G30" s="89" t="s">
        <v>169</v>
      </c>
      <c r="H30" s="303">
        <f>COUNTIF('Captains Info'!$J$224:$J$328,A30)</f>
        <v>0</v>
      </c>
      <c r="I30" s="90" t="s">
        <v>169</v>
      </c>
      <c r="J30" s="90">
        <f>COUNTIF('Captains Info'!$J$330:$J$434,'Stats for Case Committee'!A30)</f>
        <v>0</v>
      </c>
      <c r="K30" s="104"/>
      <c r="L30" s="104">
        <f t="shared" si="4"/>
        <v>0</v>
      </c>
      <c r="M30" s="104">
        <f t="shared" si="1"/>
        <v>0</v>
      </c>
    </row>
    <row r="31" spans="1:13" x14ac:dyDescent="0.2">
      <c r="A31" s="118" t="s">
        <v>314</v>
      </c>
      <c r="B31" s="81"/>
      <c r="C31" s="91">
        <f>COUNTIF('Captains Info'!$F$12:$F$116,A31)</f>
        <v>0</v>
      </c>
      <c r="D31" s="304">
        <f>COUNTIF('Captains Info'!$J$12:$J$116,A31)</f>
        <v>0</v>
      </c>
      <c r="E31" s="91">
        <f>COUNTIF('Captains Info'!$F$118:$F$222,A31)</f>
        <v>0</v>
      </c>
      <c r="F31" s="304">
        <f>COUNTIF('Captains Info'!$J$118:$J$222,A31)</f>
        <v>0</v>
      </c>
      <c r="G31" s="91">
        <f>COUNTIF('Captains Info'!$F$224:$F$328,A31)</f>
        <v>0</v>
      </c>
      <c r="H31" s="304">
        <f>COUNTIF('Captains Info'!$J$224:$J$328,A31)</f>
        <v>0</v>
      </c>
      <c r="I31" s="92">
        <f>COUNTIF('Captains Info'!$F$330:$F$434,'Stats for Case Committee'!A31)</f>
        <v>0</v>
      </c>
      <c r="J31" s="92">
        <f>COUNTIF('Captains Info'!$J$330:$J$434,'Stats for Case Committee'!A31)</f>
        <v>0</v>
      </c>
      <c r="K31" s="105">
        <f t="shared" ref="K31" si="5">C31+E31+G31+I31</f>
        <v>0</v>
      </c>
      <c r="L31" s="105">
        <f t="shared" si="4"/>
        <v>0</v>
      </c>
      <c r="M31" s="105">
        <f t="shared" si="1"/>
        <v>0</v>
      </c>
    </row>
    <row r="32" spans="1:13" x14ac:dyDescent="0.2">
      <c r="A32" s="117" t="s">
        <v>315</v>
      </c>
      <c r="B32" s="82"/>
      <c r="C32" s="89">
        <f>COUNTIF('Captains Info'!$F$12:$F$116,A32)</f>
        <v>0</v>
      </c>
      <c r="D32" s="303">
        <f>COUNTIF('Captains Info'!$J$12:$J$116,A32)</f>
        <v>0</v>
      </c>
      <c r="E32" s="89">
        <f>COUNTIF('Captains Info'!$F$118:$F$222,A32)</f>
        <v>0</v>
      </c>
      <c r="F32" s="303">
        <f>COUNTIF('Captains Info'!$J$118:$J$222,A32)</f>
        <v>0</v>
      </c>
      <c r="G32" s="89">
        <f>COUNTIF('Captains Info'!$F$224:$F$328,A32)</f>
        <v>0</v>
      </c>
      <c r="H32" s="303">
        <f>COUNTIF('Captains Info'!$J$224:$J$328,A32)</f>
        <v>0</v>
      </c>
      <c r="I32" s="90">
        <f>COUNTIF('Captains Info'!$F$330:$F$434,'Stats for Case Committee'!A32)</f>
        <v>0</v>
      </c>
      <c r="J32" s="90">
        <f>COUNTIF('Captains Info'!$J$330:$J$434,'Stats for Case Committee'!A32)</f>
        <v>0</v>
      </c>
      <c r="K32" s="104">
        <f t="shared" ref="K32:K34" si="6">C32+E32+G32+I32</f>
        <v>0</v>
      </c>
      <c r="L32" s="104">
        <f t="shared" si="4"/>
        <v>0</v>
      </c>
      <c r="M32" s="104">
        <f t="shared" si="1"/>
        <v>0</v>
      </c>
    </row>
    <row r="33" spans="1:13" x14ac:dyDescent="0.2">
      <c r="A33" s="118" t="s">
        <v>312</v>
      </c>
      <c r="B33" s="81"/>
      <c r="C33" s="91">
        <f>COUNTIF('Captains Info'!$F$12:$F$116,A33)</f>
        <v>0</v>
      </c>
      <c r="D33" s="304">
        <f>COUNTIF('Captains Info'!$J$12:$J$116,A33)</f>
        <v>0</v>
      </c>
      <c r="E33" s="91">
        <f>COUNTIF('Captains Info'!$F$118:$F$222,A33)</f>
        <v>0</v>
      </c>
      <c r="F33" s="304">
        <f>COUNTIF('Captains Info'!$J$118:$J$222,A33)</f>
        <v>0</v>
      </c>
      <c r="G33" s="91">
        <f>COUNTIF('Captains Info'!$F$224:$F$328,A33)</f>
        <v>0</v>
      </c>
      <c r="H33" s="304">
        <f>COUNTIF('Captains Info'!$J$224:$J$328,A33)</f>
        <v>0</v>
      </c>
      <c r="I33" s="92">
        <f>COUNTIF('Captains Info'!$F$330:$F$434,'Stats for Case Committee'!A33)</f>
        <v>0</v>
      </c>
      <c r="J33" s="92">
        <f>COUNTIF('Captains Info'!$J$330:$J$434,'Stats for Case Committee'!A33)</f>
        <v>0</v>
      </c>
      <c r="K33" s="105">
        <f>C33+E33+G33+I33</f>
        <v>0</v>
      </c>
      <c r="L33" s="105">
        <f t="shared" si="4"/>
        <v>0</v>
      </c>
      <c r="M33" s="105">
        <f t="shared" si="1"/>
        <v>0</v>
      </c>
    </row>
    <row r="34" spans="1:13" x14ac:dyDescent="0.2">
      <c r="A34" s="307" t="s">
        <v>313</v>
      </c>
      <c r="B34" s="308"/>
      <c r="C34" s="309">
        <f>COUNTIF('Captains Info'!$F$12:$F$116,A34)</f>
        <v>0</v>
      </c>
      <c r="D34" s="310">
        <f>COUNTIF('Captains Info'!$J$12:$J$116,A34)</f>
        <v>0</v>
      </c>
      <c r="E34" s="309">
        <f>COUNTIF('Captains Info'!$F$118:$F$222,A34)</f>
        <v>0</v>
      </c>
      <c r="F34" s="310">
        <f>COUNTIF('Captains Info'!$J$118:$J$222,A34)</f>
        <v>0</v>
      </c>
      <c r="G34" s="309">
        <f>COUNTIF('Captains Info'!$F$224:$F$328,A34)</f>
        <v>0</v>
      </c>
      <c r="H34" s="310">
        <f>COUNTIF('Captains Info'!$J$224:$J$283,A34)</f>
        <v>0</v>
      </c>
      <c r="I34" s="311">
        <f>COUNTIF('Captains Info'!$F$330:$F$434,'Stats for Case Committee'!A34)</f>
        <v>0</v>
      </c>
      <c r="J34" s="311">
        <f>COUNTIF('Captains Info'!$J$330:$J$434,'Stats for Case Committee'!A34)</f>
        <v>0</v>
      </c>
      <c r="K34" s="312">
        <f t="shared" si="6"/>
        <v>0</v>
      </c>
      <c r="L34" s="312">
        <f t="shared" si="4"/>
        <v>0</v>
      </c>
      <c r="M34" s="312">
        <f t="shared" si="1"/>
        <v>0</v>
      </c>
    </row>
    <row r="37" spans="1:13" x14ac:dyDescent="0.2">
      <c r="A37" s="115" t="s">
        <v>92</v>
      </c>
      <c r="B37" s="83"/>
      <c r="C37" s="85" t="s">
        <v>87</v>
      </c>
      <c r="D37" s="86" t="s">
        <v>89</v>
      </c>
      <c r="E37" s="86" t="s">
        <v>91</v>
      </c>
      <c r="F37" s="86" t="s">
        <v>90</v>
      </c>
      <c r="G37" s="102" t="s">
        <v>93</v>
      </c>
    </row>
    <row r="38" spans="1:13" x14ac:dyDescent="0.2">
      <c r="A38" s="116" t="s">
        <v>33</v>
      </c>
      <c r="B38" s="84"/>
      <c r="C38" s="87">
        <f>COUNTIF('Ballots for Export'!$E$2:$E$106,"&gt;0")</f>
        <v>10</v>
      </c>
      <c r="D38" s="88">
        <f>COUNTIF('Ballots for Export'!$E$107:$E$211,"&gt;0")</f>
        <v>10</v>
      </c>
      <c r="E38" s="88">
        <f>COUNTIF('Ballots for Export'!$E$212:$E$316,"&gt;0")</f>
        <v>4</v>
      </c>
      <c r="F38" s="88">
        <f>COUNTIF('Ballots for Export'!$E$317:$E$421,"&gt;0")</f>
        <v>10</v>
      </c>
      <c r="G38" s="103">
        <f>SUM(C38:F38)</f>
        <v>34</v>
      </c>
    </row>
    <row r="39" spans="1:13" x14ac:dyDescent="0.2">
      <c r="A39" s="117" t="s">
        <v>47</v>
      </c>
      <c r="B39" s="82"/>
      <c r="C39" s="89">
        <f>COUNTIF('Ballots for Export'!$E$2:$E$106,"&lt;0")</f>
        <v>7</v>
      </c>
      <c r="D39" s="90">
        <f>COUNTIF('Ballots for Export'!$E$107:$E$211,"&lt;0")</f>
        <v>7</v>
      </c>
      <c r="E39" s="90">
        <f>COUNTIF('Ballots for Export'!$E$212:$E$316,"&lt;0")</f>
        <v>11</v>
      </c>
      <c r="F39" s="90">
        <f>COUNTIF('Ballots for Export'!$E$317:$E$421,"&lt;0")</f>
        <v>8</v>
      </c>
      <c r="G39" s="104">
        <f>SUM(C39:F39)</f>
        <v>33</v>
      </c>
    </row>
    <row r="40" spans="1:13" x14ac:dyDescent="0.2">
      <c r="A40" s="118" t="s">
        <v>72</v>
      </c>
      <c r="B40" s="81"/>
      <c r="C40" s="91">
        <f>Teams-C38-C39</f>
        <v>1</v>
      </c>
      <c r="D40" s="397">
        <f>Teams-D38-D39</f>
        <v>1</v>
      </c>
      <c r="E40" s="397">
        <f>Teams-E38-E39</f>
        <v>3</v>
      </c>
      <c r="F40" s="304">
        <f>Teams-F38-F39</f>
        <v>0</v>
      </c>
      <c r="G40" s="105">
        <f>SUM(C40:F40)</f>
        <v>5</v>
      </c>
    </row>
    <row r="41" spans="1:13" x14ac:dyDescent="0.2">
      <c r="A41" s="119" t="s">
        <v>88</v>
      </c>
      <c r="B41" s="106"/>
      <c r="C41" s="107">
        <f>AVERAGE('Ballots for Export'!$E$2:$E$106)</f>
        <v>1.5185185185185186</v>
      </c>
      <c r="D41" s="108">
        <f>AVERAGE('Ballots for Export'!$E$107:$E$211)</f>
        <v>-0.48148148148148145</v>
      </c>
      <c r="E41" s="108">
        <f>AVERAGE('Ballots for Export'!$E$212:$E$316)</f>
        <v>-1.1481481481481481</v>
      </c>
      <c r="F41" s="108">
        <f>AVERAGE('Ballots for Export'!$E$317:$E$421)</f>
        <v>-0.33333333333333331</v>
      </c>
      <c r="G41" s="109">
        <f>AVERAGE(C41:F41)</f>
        <v>-0.11111111111111106</v>
      </c>
    </row>
    <row r="52" spans="1:1" x14ac:dyDescent="0.2">
      <c r="A52" s="146"/>
    </row>
    <row r="53" spans="1:1" x14ac:dyDescent="0.2">
      <c r="A53" s="4"/>
    </row>
    <row r="54" spans="1:1" x14ac:dyDescent="0.2">
      <c r="A54" s="146"/>
    </row>
    <row r="55" spans="1:1" x14ac:dyDescent="0.2">
      <c r="A55" s="146"/>
    </row>
    <row r="56" spans="1:1" x14ac:dyDescent="0.2">
      <c r="A56" s="146"/>
    </row>
    <row r="57" spans="1:1" x14ac:dyDescent="0.2">
      <c r="A57" s="314"/>
    </row>
    <row r="58" spans="1:1" x14ac:dyDescent="0.2">
      <c r="A58" s="4"/>
    </row>
    <row r="59" spans="1:1" x14ac:dyDescent="0.2">
      <c r="A59" s="314"/>
    </row>
    <row r="60" spans="1:1" x14ac:dyDescent="0.2">
      <c r="A60" s="4"/>
    </row>
    <row r="61" spans="1:1" x14ac:dyDescent="0.2">
      <c r="A61" s="146"/>
    </row>
    <row r="62" spans="1:1" x14ac:dyDescent="0.2">
      <c r="A62" s="314"/>
    </row>
    <row r="63" spans="1:1" x14ac:dyDescent="0.2">
      <c r="A63" s="146"/>
    </row>
    <row r="64" spans="1:1" x14ac:dyDescent="0.2">
      <c r="A64" s="146"/>
    </row>
    <row r="65" spans="1:1" x14ac:dyDescent="0.2">
      <c r="A65" s="314"/>
    </row>
  </sheetData>
  <sheetProtection formatCells="0" formatColumns="0" formatRows="0"/>
  <sortState ref="A54:A65">
    <sortCondition ref="A54"/>
  </sortState>
  <mergeCells count="4">
    <mergeCell ref="C23:D23"/>
    <mergeCell ref="E23:F23"/>
    <mergeCell ref="G23:H23"/>
    <mergeCell ref="I23:J23"/>
  </mergeCells>
  <pageMargins left="0.7" right="0.7" top="0.75" bottom="0.75" header="0.3" footer="0.3"/>
  <pageSetup orientation="landscape"/>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B30"/>
  <sheetViews>
    <sheetView workbookViewId="0">
      <selection activeCell="B31" sqref="B31"/>
    </sheetView>
  </sheetViews>
  <sheetFormatPr defaultColWidth="8.85546875" defaultRowHeight="12.75" x14ac:dyDescent="0.2"/>
  <sheetData>
    <row r="1" spans="1:2" x14ac:dyDescent="0.2">
      <c r="A1" t="s">
        <v>227</v>
      </c>
      <c r="B1" t="s">
        <v>228</v>
      </c>
    </row>
    <row r="2" spans="1:2" x14ac:dyDescent="0.2">
      <c r="B2" t="s">
        <v>230</v>
      </c>
    </row>
    <row r="3" spans="1:2" x14ac:dyDescent="0.2">
      <c r="B3" t="s">
        <v>229</v>
      </c>
    </row>
    <row r="4" spans="1:2" x14ac:dyDescent="0.2">
      <c r="B4" t="s">
        <v>231</v>
      </c>
    </row>
    <row r="5" spans="1:2" x14ac:dyDescent="0.2">
      <c r="B5" t="s">
        <v>232</v>
      </c>
    </row>
    <row r="6" spans="1:2" x14ac:dyDescent="0.2">
      <c r="B6" t="s">
        <v>233</v>
      </c>
    </row>
    <row r="7" spans="1:2" x14ac:dyDescent="0.2">
      <c r="B7" t="s">
        <v>234</v>
      </c>
    </row>
    <row r="8" spans="1:2" x14ac:dyDescent="0.2">
      <c r="B8" t="s">
        <v>235</v>
      </c>
    </row>
    <row r="10" spans="1:2" x14ac:dyDescent="0.2">
      <c r="A10" t="s">
        <v>236</v>
      </c>
      <c r="B10" t="s">
        <v>238</v>
      </c>
    </row>
    <row r="11" spans="1:2" x14ac:dyDescent="0.2">
      <c r="B11" t="s">
        <v>237</v>
      </c>
    </row>
    <row r="13" spans="1:2" x14ac:dyDescent="0.2">
      <c r="A13" t="s">
        <v>275</v>
      </c>
      <c r="B13" t="s">
        <v>269</v>
      </c>
    </row>
    <row r="14" spans="1:2" x14ac:dyDescent="0.2">
      <c r="B14" t="s">
        <v>274</v>
      </c>
    </row>
    <row r="16" spans="1:2" x14ac:dyDescent="0.2">
      <c r="A16" t="s">
        <v>276</v>
      </c>
      <c r="B16" t="s">
        <v>277</v>
      </c>
    </row>
    <row r="17" spans="1:2" x14ac:dyDescent="0.2">
      <c r="A17" t="s">
        <v>278</v>
      </c>
      <c r="B17" t="s">
        <v>279</v>
      </c>
    </row>
    <row r="18" spans="1:2" x14ac:dyDescent="0.2">
      <c r="A18" s="1" t="s">
        <v>280</v>
      </c>
      <c r="B18" t="s">
        <v>281</v>
      </c>
    </row>
    <row r="19" spans="1:2" x14ac:dyDescent="0.2">
      <c r="A19" t="s">
        <v>289</v>
      </c>
      <c r="B19" t="s">
        <v>292</v>
      </c>
    </row>
    <row r="20" spans="1:2" x14ac:dyDescent="0.2">
      <c r="A20" s="1" t="s">
        <v>290</v>
      </c>
      <c r="B20" t="s">
        <v>291</v>
      </c>
    </row>
    <row r="21" spans="1:2" x14ac:dyDescent="0.2">
      <c r="A21" t="s">
        <v>293</v>
      </c>
      <c r="B21" t="s">
        <v>294</v>
      </c>
    </row>
    <row r="22" spans="1:2" x14ac:dyDescent="0.2">
      <c r="A22" t="s">
        <v>295</v>
      </c>
      <c r="B22" t="s">
        <v>296</v>
      </c>
    </row>
    <row r="23" spans="1:2" x14ac:dyDescent="0.2">
      <c r="A23" s="1" t="s">
        <v>297</v>
      </c>
      <c r="B23" t="s">
        <v>298</v>
      </c>
    </row>
    <row r="24" spans="1:2" x14ac:dyDescent="0.2">
      <c r="A24" t="s">
        <v>299</v>
      </c>
      <c r="B24" t="s">
        <v>300</v>
      </c>
    </row>
    <row r="25" spans="1:2" x14ac:dyDescent="0.2">
      <c r="A25" t="s">
        <v>301</v>
      </c>
      <c r="B25" t="s">
        <v>302</v>
      </c>
    </row>
    <row r="26" spans="1:2" x14ac:dyDescent="0.2">
      <c r="A26" s="1" t="s">
        <v>303</v>
      </c>
      <c r="B26" s="1" t="s">
        <v>304</v>
      </c>
    </row>
    <row r="27" spans="1:2" x14ac:dyDescent="0.2">
      <c r="A27" t="s">
        <v>305</v>
      </c>
      <c r="B27" t="s">
        <v>306</v>
      </c>
    </row>
    <row r="28" spans="1:2" x14ac:dyDescent="0.2">
      <c r="A28" s="1" t="s">
        <v>317</v>
      </c>
      <c r="B28" t="s">
        <v>318</v>
      </c>
    </row>
    <row r="29" spans="1:2" x14ac:dyDescent="0.2">
      <c r="A29" t="s">
        <v>321</v>
      </c>
      <c r="B29" t="s">
        <v>322</v>
      </c>
    </row>
    <row r="30" spans="1:2" x14ac:dyDescent="0.2">
      <c r="A30" s="1" t="s">
        <v>375</v>
      </c>
      <c r="B30" t="s">
        <v>422</v>
      </c>
    </row>
  </sheetData>
  <sheetProtection sheet="1" formatCells="0" formatColumns="0" formatRows="0"/>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93</vt:i4>
      </vt:variant>
    </vt:vector>
  </HeadingPairs>
  <TitlesOfParts>
    <vt:vector size="103" baseType="lpstr">
      <vt:lpstr>Read Me</vt:lpstr>
      <vt:lpstr>Tournament Info</vt:lpstr>
      <vt:lpstr>Tab Summary</vt:lpstr>
      <vt:lpstr>Ballot Entry</vt:lpstr>
      <vt:lpstr>Individual Awards</vt:lpstr>
      <vt:lpstr>Quick Review</vt:lpstr>
      <vt:lpstr>Captains Info</vt:lpstr>
      <vt:lpstr>Stats for Case Committee</vt:lpstr>
      <vt:lpstr>Change Log</vt:lpstr>
      <vt:lpstr>Ballots for Export</vt:lpstr>
      <vt:lpstr>AllStudents</vt:lpstr>
      <vt:lpstr>AMTA1</vt:lpstr>
      <vt:lpstr>AMTA2</vt:lpstr>
      <vt:lpstr>AMTA3</vt:lpstr>
      <vt:lpstr>AttyCutoff</vt:lpstr>
      <vt:lpstr>Ballots</vt:lpstr>
      <vt:lpstr>Bids</vt:lpstr>
      <vt:lpstr>Date</vt:lpstr>
      <vt:lpstr>DComb</vt:lpstr>
      <vt:lpstr>DLookup</vt:lpstr>
      <vt:lpstr>Flip1</vt:lpstr>
      <vt:lpstr>Flip2</vt:lpstr>
      <vt:lpstr>HM</vt:lpstr>
      <vt:lpstr>HMCalc</vt:lpstr>
      <vt:lpstr>Host</vt:lpstr>
      <vt:lpstr>Individ_Awards</vt:lpstr>
      <vt:lpstr>Level</vt:lpstr>
      <vt:lpstr>Location</vt:lpstr>
      <vt:lpstr>Name</vt:lpstr>
      <vt:lpstr>Offset</vt:lpstr>
      <vt:lpstr>ORC</vt:lpstr>
      <vt:lpstr>ORCDate</vt:lpstr>
      <vt:lpstr>ORCLoc</vt:lpstr>
      <vt:lpstr>PComb</vt:lpstr>
      <vt:lpstr>Plookup</vt:lpstr>
      <vt:lpstr>'Tab Summary'!Print_Area</vt:lpstr>
      <vt:lpstr>Round1</vt:lpstr>
      <vt:lpstr>Round1D</vt:lpstr>
      <vt:lpstr>Round1P</vt:lpstr>
      <vt:lpstr>Round2</vt:lpstr>
      <vt:lpstr>Round2D</vt:lpstr>
      <vt:lpstr>Round2P</vt:lpstr>
      <vt:lpstr>Round3</vt:lpstr>
      <vt:lpstr>Round3D</vt:lpstr>
      <vt:lpstr>Round3P</vt:lpstr>
      <vt:lpstr>Round3Rank</vt:lpstr>
      <vt:lpstr>Round4</vt:lpstr>
      <vt:lpstr>Round4D</vt:lpstr>
      <vt:lpstr>Round4P</vt:lpstr>
      <vt:lpstr>SoAMTA1</vt:lpstr>
      <vt:lpstr>SoAMTA2</vt:lpstr>
      <vt:lpstr>SoAMTA3</vt:lpstr>
      <vt:lpstr>SoAMTARanks</vt:lpstr>
      <vt:lpstr>SoMA2</vt:lpstr>
      <vt:lpstr>Sort</vt:lpstr>
      <vt:lpstr>SortArray</vt:lpstr>
      <vt:lpstr>Team1</vt:lpstr>
      <vt:lpstr>Team10</vt:lpstr>
      <vt:lpstr>Team11</vt:lpstr>
      <vt:lpstr>Team12</vt:lpstr>
      <vt:lpstr>Team13</vt:lpstr>
      <vt:lpstr>Team14</vt:lpstr>
      <vt:lpstr>Team15</vt:lpstr>
      <vt:lpstr>Team16</vt:lpstr>
      <vt:lpstr>Team17</vt:lpstr>
      <vt:lpstr>Team18</vt:lpstr>
      <vt:lpstr>Team19</vt:lpstr>
      <vt:lpstr>Team2</vt:lpstr>
      <vt:lpstr>Team20</vt:lpstr>
      <vt:lpstr>Team21</vt:lpstr>
      <vt:lpstr>Team22</vt:lpstr>
      <vt:lpstr>Team23</vt:lpstr>
      <vt:lpstr>Team24</vt:lpstr>
      <vt:lpstr>Team25</vt:lpstr>
      <vt:lpstr>Team26</vt:lpstr>
      <vt:lpstr>Team27</vt:lpstr>
      <vt:lpstr>Team28</vt:lpstr>
      <vt:lpstr>Team29</vt:lpstr>
      <vt:lpstr>Team3</vt:lpstr>
      <vt:lpstr>Team30</vt:lpstr>
      <vt:lpstr>Team31</vt:lpstr>
      <vt:lpstr>Team32</vt:lpstr>
      <vt:lpstr>Team33</vt:lpstr>
      <vt:lpstr>Team34</vt:lpstr>
      <vt:lpstr>Team35</vt:lpstr>
      <vt:lpstr>Team36</vt:lpstr>
      <vt:lpstr>Team37</vt:lpstr>
      <vt:lpstr>Team38</vt:lpstr>
      <vt:lpstr>Team39</vt:lpstr>
      <vt:lpstr>Team4</vt:lpstr>
      <vt:lpstr>Team40</vt:lpstr>
      <vt:lpstr>Team41</vt:lpstr>
      <vt:lpstr>Team42</vt:lpstr>
      <vt:lpstr>Team5</vt:lpstr>
      <vt:lpstr>Team6</vt:lpstr>
      <vt:lpstr>Team7</vt:lpstr>
      <vt:lpstr>Team8</vt:lpstr>
      <vt:lpstr>Team9</vt:lpstr>
      <vt:lpstr>TeamNumbers</vt:lpstr>
      <vt:lpstr>TeamRank</vt:lpstr>
      <vt:lpstr>TeamRecord</vt:lpstr>
      <vt:lpstr>Teams</vt:lpstr>
      <vt:lpstr>WitCutoff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 Freixes</dc:creator>
  <cp:lastModifiedBy>Bluebond, Alex</cp:lastModifiedBy>
  <cp:revision>1</cp:revision>
  <cp:lastPrinted>2019-01-30T22:02:05Z</cp:lastPrinted>
  <dcterms:created xsi:type="dcterms:W3CDTF">2019-01-26T17:14:00Z</dcterms:created>
  <dcterms:modified xsi:type="dcterms:W3CDTF">2019-01-31T00:30:01Z</dcterms:modified>
  <cp:version/>
</cp:coreProperties>
</file>